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showInkAnnotation="0" codeName="ThisWorkbook"/>
  <mc:AlternateContent xmlns:mc="http://schemas.openxmlformats.org/markup-compatibility/2006">
    <mc:Choice Requires="x15">
      <x15ac:absPath xmlns:x15ac="http://schemas.microsoft.com/office/spreadsheetml/2010/11/ac" url="G:\My Drive\My files\30 Budget\EOYR\"/>
    </mc:Choice>
  </mc:AlternateContent>
  <xr:revisionPtr revIDLastSave="0" documentId="11_65D844A2B7FA2BAC2E0541B1F8DB2A8E452F554C" xr6:coauthVersionLast="47" xr6:coauthVersionMax="47" xr10:uidLastSave="{00000000-0000-0000-0000-000000000000}"/>
  <bookViews>
    <workbookView xWindow="0" yWindow="0" windowWidth="23040" windowHeight="9072" firstSheet="1" activeTab="1" xr2:uid="{00000000-000D-0000-FFFF-FFFF00000000}"/>
  </bookViews>
  <sheets>
    <sheet name="comments" sheetId="35" r:id="rId1"/>
    <sheet name="eoy24" sheetId="1" r:id="rId2"/>
    <sheet name="reports" sheetId="22" r:id="rId3"/>
    <sheet name="edits" sheetId="36" r:id="rId4"/>
    <sheet name="schedule3_total" sheetId="49" r:id="rId5"/>
    <sheet name="schedule3" sheetId="29" r:id="rId6"/>
    <sheet name="schedule18" sheetId="48" r:id="rId7"/>
    <sheet name="convert" sheetId="31" state="hidden" r:id="rId8"/>
    <sheet name="data" sheetId="30" state="hidden" r:id="rId9"/>
    <sheet name="schedule20" sheetId="53" r:id="rId10"/>
    <sheet name="enrollment" sheetId="52" state="hidden" r:id="rId11"/>
    <sheet name="excess cost" sheetId="50" r:id="rId12"/>
    <sheet name="calcmisc" sheetId="39" r:id="rId13"/>
    <sheet name="schools" sheetId="33" state="hidden" r:id="rId14"/>
  </sheets>
  <definedNames>
    <definedName name="_xlnm._FilterDatabase" localSheetId="12" hidden="1">calcmisc!$E$37:$E$476</definedName>
    <definedName name="_xlnm._FilterDatabase" localSheetId="8" hidden="1">data!$A$7:$B$735</definedName>
    <definedName name="_xlnm._FilterDatabase" localSheetId="3" hidden="1">edits!$A$14:$A$930</definedName>
    <definedName name="_xlnm._FilterDatabase" localSheetId="1" hidden="1">'eoy24'!$C$14:$C$1327</definedName>
    <definedName name="_xlnm._FilterDatabase" localSheetId="2" hidden="1">reports!$A$67:$B$266</definedName>
    <definedName name="_xlnm._FilterDatabase" localSheetId="5" hidden="1">schedule3!$A$13:$AH$13</definedName>
    <definedName name="_xlnm._FilterDatabase" localSheetId="4" hidden="1">schedule3_total!$J$15:$AB$21</definedName>
    <definedName name="AcctSoftware">schedule18!$Q$7:$Q$39</definedName>
    <definedName name="adultfed">data!$R$8:$R$14997</definedName>
    <definedName name="adultstate">data!$V$8:$V$14997</definedName>
    <definedName name="cbprojreimb">reports!$C$55</definedName>
    <definedName name="circuitbreaker">data!$X$8:$X$14997</definedName>
    <definedName name="citytwn">data!$I$8:$I$14997</definedName>
    <definedName name="code436">calcmisc!$A$38:$E$476</definedName>
    <definedName name="day">data!$C$8:$C$14947</definedName>
    <definedName name="daypct">calcmisc!$E$16</definedName>
    <definedName name="daypctbud">calcmisc!$F$16</definedName>
    <definedName name="doefed">data!$Q$8:$Q$14997</definedName>
    <definedName name="doestate">data!$U$8:$U$14997</definedName>
    <definedName name="ESSERG">data!$O$8:$O$14997</definedName>
    <definedName name="ESSERI">data!$L$8:$L$14997</definedName>
    <definedName name="ESSERII">data!$M$8:$M$14997</definedName>
    <definedName name="ESSERIII">data!$N$8:$N$14997</definedName>
    <definedName name="GEER">data!$P$8:$P$14997</definedName>
    <definedName name="IDEA">data!$K$8:$K$14997</definedName>
    <definedName name="lines">data!$B$8:$B$14998</definedName>
    <definedName name="occday">data!$E$8:$E$14987</definedName>
    <definedName name="other">data!$F$632:$F$14997</definedName>
    <definedName name="otherfed">data!$S$8:$S$14997</definedName>
    <definedName name="otherreceipts">data!$AA$8:$AA$14997</definedName>
    <definedName name="otherstate">data!$W$8:$W$14997</definedName>
    <definedName name="_xlnm.Print_Area" localSheetId="3">edits!$B$12:$I$870</definedName>
    <definedName name="_xlnm.Print_Area" localSheetId="1">'eoy24'!$A$1295:$O$1327</definedName>
    <definedName name="_xlnm.Print_Area" localSheetId="2">reports!$A$251:$I$266</definedName>
    <definedName name="_xlnm.Print_Area" localSheetId="6">schedule18!$B$38:$H$44</definedName>
    <definedName name="_xlnm.Print_Area" localSheetId="5">schedule3!$C$5:$AD$170</definedName>
    <definedName name="_xlnm.Print_Area" localSheetId="4">schedule3_total!$A$5:$AB$170</definedName>
    <definedName name="Print_sch3_school">schedule3!$C$5:$AD$170</definedName>
    <definedName name="Print_sch3_total" localSheetId="4">schedule3_total!$A$5:$AB$170</definedName>
    <definedName name="_xlnm.Print_Titles" localSheetId="3">edits!$12:$14</definedName>
    <definedName name="_xlnm.Print_Titles" localSheetId="1">'eoy24'!$1234:$1239</definedName>
    <definedName name="_xlnm.Print_Titles" localSheetId="6">schedule18!$2:$6</definedName>
    <definedName name="_xlnm.Print_Titles" localSheetId="5">schedule3!$8:$13</definedName>
    <definedName name="_xlnm.Print_Titles" localSheetId="4">schedule3_total!$8:$13</definedName>
    <definedName name="Print_Titles_Expall">'eoy24'!$A$1234:$O$1239</definedName>
    <definedName name="Print_Titles_Sch1">'eoy24'!$A$9:$J$13</definedName>
    <definedName name="Print_Titles_Sch18">schedule18!$B$2:$H$6</definedName>
    <definedName name="Print_Titles_Sch19">'eoy24'!$A$1093:$J$1097</definedName>
    <definedName name="Print_Titles_Sch19reg">'eoy24'!$A$1198:$L$1202</definedName>
    <definedName name="Print_Titles_Sch19rev">'eoy24'!$A$1179:$J$1183</definedName>
    <definedName name="Print_Titles_Sch1grnts">'eoy24'!$A$541:$Q$546</definedName>
    <definedName name="Print_Titles_Sch1mun">'eoy24'!$A$476:$J$480</definedName>
    <definedName name="Print_Titles_Sch1sc">'eoy24'!$A$55:$J$59</definedName>
    <definedName name="Print_Titles_Sch2">'eoy24'!$A$635:$J$638</definedName>
    <definedName name="Print_Titles_Sch20">schedule20!$C$9:$S$15</definedName>
    <definedName name="Print_Titles_Sch3grnts">'eoy24'!$A$834:$O$839</definedName>
    <definedName name="Print_Titles_Sch3scct">'eoy24'!$A$670:$K$674</definedName>
    <definedName name="Print_Titles_Sch4">'eoy24'!$A$999:$M$1004</definedName>
    <definedName name="Print_Titles_Sch7">'eoy24'!$A$1026:$M$1034</definedName>
    <definedName name="printall">'eoy24'!$A$1:$O$1294</definedName>
    <definedName name="private">data!$Y$8:$Y$14997</definedName>
    <definedName name="projfacaid">calcmisc!$E$35</definedName>
    <definedName name="scadmin">calcmisc!$E$29</definedName>
    <definedName name="schchoice">data!$Z$8:$Z$14997</definedName>
    <definedName name="schcomm">data!$H$8:$H$14997</definedName>
    <definedName name="schools">schools!$B$2:$F$226</definedName>
    <definedName name="special">data!$D$8:$D$14947</definedName>
    <definedName name="TitleI">data!$J$8:$J$14997</definedName>
    <definedName name="totalexp">data!$T$8:$T$14997</definedName>
    <definedName name="undist">data!$G$632:$G$14997</definedName>
    <definedName name="Z_EBCA391C_5ACD_495F_8ED1_C69B7D739622_.wvu.Cols" localSheetId="7" hidden="1">convert!$A:$B</definedName>
    <definedName name="Z_EBCA391C_5ACD_495F_8ED1_C69B7D739622_.wvu.Cols" localSheetId="6" hidden="1">schedule18!$D:$E</definedName>
    <definedName name="Z_EBCA391C_5ACD_495F_8ED1_C69B7D739622_.wvu.Cols" localSheetId="5" hidden="1">schedule3!$A:$B</definedName>
    <definedName name="Z_EBCA391C_5ACD_495F_8ED1_C69B7D739622_.wvu.FilterData" localSheetId="12" hidden="1">calcmisc!$E$37:$E$476</definedName>
    <definedName name="Z_EBCA391C_5ACD_495F_8ED1_C69B7D739622_.wvu.FilterData" localSheetId="3" hidden="1">edits!$A$14:$A$847</definedName>
    <definedName name="Z_EBCA391C_5ACD_495F_8ED1_C69B7D739622_.wvu.FilterData" localSheetId="1" hidden="1">'eoy24'!$C$14:$C$1327</definedName>
    <definedName name="Z_EBCA391C_5ACD_495F_8ED1_C69B7D739622_.wvu.FilterData" localSheetId="5" hidden="1">schedule3!$C$14:$D$170</definedName>
    <definedName name="Z_EBCA391C_5ACD_495F_8ED1_C69B7D739622_.wvu.FilterData" localSheetId="4" hidden="1">schedule3_total!$A$14:$B$170</definedName>
    <definedName name="Z_EBCA391C_5ACD_495F_8ED1_C69B7D739622_.wvu.PrintArea" localSheetId="3" hidden="1">edits!$B$12:$I$821</definedName>
    <definedName name="Z_EBCA391C_5ACD_495F_8ED1_C69B7D739622_.wvu.PrintArea" localSheetId="1" hidden="1">'eoy24'!$A$91:$J$119</definedName>
    <definedName name="Z_EBCA391C_5ACD_495F_8ED1_C69B7D739622_.wvu.PrintArea" localSheetId="2" hidden="1">reports!$A$253:$G$266</definedName>
    <definedName name="Z_EBCA391C_5ACD_495F_8ED1_C69B7D739622_.wvu.PrintArea" localSheetId="6" hidden="1">schedule18!$B$38:$H$44</definedName>
    <definedName name="Z_EBCA391C_5ACD_495F_8ED1_C69B7D739622_.wvu.PrintArea" localSheetId="5" hidden="1">schedule3!$C$5:$AD$170</definedName>
    <definedName name="Z_EBCA391C_5ACD_495F_8ED1_C69B7D739622_.wvu.PrintArea" localSheetId="4" hidden="1">schedule3_total!$A$5:$AB$170</definedName>
    <definedName name="Z_EBCA391C_5ACD_495F_8ED1_C69B7D739622_.wvu.PrintTitles" localSheetId="3" hidden="1">edits!$12:$14</definedName>
    <definedName name="Z_EBCA391C_5ACD_495F_8ED1_C69B7D739622_.wvu.PrintTitles" localSheetId="1" hidden="1">'eoy24'!$55:$59</definedName>
    <definedName name="Z_EBCA391C_5ACD_495F_8ED1_C69B7D739622_.wvu.PrintTitles" localSheetId="6" hidden="1">schedule18!$2:$6</definedName>
    <definedName name="Z_EBCA391C_5ACD_495F_8ED1_C69B7D739622_.wvu.PrintTitles" localSheetId="5" hidden="1">schedule3!$8:$13</definedName>
    <definedName name="Z_EBCA391C_5ACD_495F_8ED1_C69B7D739622_.wvu.PrintTitles" localSheetId="4" hidden="1">schedule3_total!$8:$13</definedName>
    <definedName name="Z_EBCA391C_5ACD_495F_8ED1_C69B7D739622_.wvu.Rows" localSheetId="3" hidden="1">edits!$2:$3</definedName>
    <definedName name="Z_EBCA391C_5ACD_495F_8ED1_C69B7D739622_.wvu.Rows" localSheetId="4" hidden="1">schedule3_total!$1:$6</definedName>
  </definedNames>
  <calcPr calcId="191028"/>
  <customWorkbookViews>
    <customWorkbookView name="Delmonte, Craig (ESE) - Personal View" guid="{EBCA391C-5ACD-495F-8ED1-C69B7D739622}" mergeInterval="0" personalView="1" maximized="1" xWindow="2869" yWindow="-11" windowWidth="2902" windowHeight="1582" tabRatio="824" activeSheetId="4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 i="33" l="1"/>
  <c r="B2" i="33"/>
  <c r="I2" i="33"/>
  <c r="B3" i="33"/>
  <c r="I3" i="33"/>
  <c r="B4" i="33"/>
  <c r="I4" i="33"/>
  <c r="B5" i="33"/>
  <c r="I5" i="33"/>
  <c r="B6" i="33"/>
  <c r="I6" i="33"/>
  <c r="B7" i="33"/>
  <c r="I7" i="33"/>
  <c r="B8" i="33"/>
  <c r="I8" i="33"/>
  <c r="B9" i="33"/>
  <c r="I9" i="33"/>
  <c r="B10" i="33"/>
  <c r="I10" i="33"/>
  <c r="B11" i="33"/>
  <c r="I11" i="33"/>
  <c r="B12" i="33"/>
  <c r="I12" i="33"/>
  <c r="B13" i="33"/>
  <c r="I13" i="33"/>
  <c r="B14" i="33"/>
  <c r="I14" i="33"/>
  <c r="B15" i="33"/>
  <c r="I15" i="33"/>
  <c r="B16" i="33"/>
  <c r="I16" i="33"/>
  <c r="B17" i="33"/>
  <c r="I17" i="33"/>
  <c r="B18" i="33"/>
  <c r="I18" i="33"/>
  <c r="B19" i="33"/>
  <c r="I19" i="33"/>
  <c r="B20" i="33"/>
  <c r="I20" i="33"/>
  <c r="B21" i="33"/>
  <c r="I21" i="33"/>
  <c r="B22" i="33"/>
  <c r="I22" i="33"/>
  <c r="B23" i="33"/>
  <c r="I23" i="33"/>
  <c r="B24" i="33"/>
  <c r="I24" i="33"/>
  <c r="B25" i="33"/>
  <c r="I25" i="33"/>
  <c r="B26" i="33"/>
  <c r="I26" i="33"/>
  <c r="B27" i="33"/>
  <c r="I27" i="33"/>
  <c r="B28" i="33"/>
  <c r="I28" i="33"/>
  <c r="B29" i="33"/>
  <c r="I29" i="33"/>
  <c r="B30" i="33"/>
  <c r="I30" i="33"/>
  <c r="B31" i="33"/>
  <c r="I31" i="33"/>
  <c r="B32" i="33"/>
  <c r="I32" i="33"/>
  <c r="B33" i="33"/>
  <c r="I33" i="33"/>
  <c r="B34" i="33"/>
  <c r="I34" i="33"/>
  <c r="B35" i="33"/>
  <c r="I35" i="33"/>
  <c r="B36" i="33"/>
  <c r="I36" i="33"/>
  <c r="B37" i="33"/>
  <c r="I37" i="33"/>
  <c r="B38" i="33"/>
  <c r="I38" i="33"/>
  <c r="B39" i="33"/>
  <c r="I39" i="33"/>
  <c r="B40" i="33"/>
  <c r="I40" i="33"/>
  <c r="B41" i="33"/>
  <c r="I41" i="33"/>
  <c r="B42" i="33"/>
  <c r="I42" i="33"/>
  <c r="B43" i="33"/>
  <c r="I43" i="33"/>
  <c r="B44" i="33"/>
  <c r="I44" i="33"/>
  <c r="B45" i="33"/>
  <c r="I45" i="33"/>
  <c r="B46" i="33"/>
  <c r="I46" i="33"/>
  <c r="B47" i="33"/>
  <c r="I47" i="33"/>
  <c r="B48" i="33"/>
  <c r="I48" i="33"/>
  <c r="B49" i="33"/>
  <c r="I49" i="33"/>
  <c r="B50" i="33"/>
  <c r="I50" i="33"/>
  <c r="B51" i="33"/>
  <c r="I51" i="33"/>
  <c r="B52" i="33"/>
  <c r="I52" i="33"/>
  <c r="B53" i="33"/>
  <c r="I53" i="33"/>
  <c r="B54" i="33"/>
  <c r="I54" i="33"/>
  <c r="B55" i="33"/>
  <c r="I55" i="33"/>
  <c r="B56" i="33"/>
  <c r="I56" i="33"/>
  <c r="B57" i="33"/>
  <c r="I57" i="33"/>
  <c r="B58" i="33"/>
  <c r="I58" i="33"/>
  <c r="B59" i="33"/>
  <c r="I59" i="33"/>
  <c r="B60" i="33"/>
  <c r="I60" i="33"/>
  <c r="B61" i="33"/>
  <c r="I61" i="33"/>
  <c r="B62" i="33"/>
  <c r="I62" i="33"/>
  <c r="B63" i="33"/>
  <c r="I63" i="33"/>
  <c r="B64" i="33"/>
  <c r="I64" i="33"/>
  <c r="B65" i="33"/>
  <c r="I65" i="33"/>
  <c r="B66" i="33"/>
  <c r="I66" i="33"/>
  <c r="B67" i="33"/>
  <c r="I67" i="33"/>
  <c r="B68" i="33"/>
  <c r="I68" i="33"/>
  <c r="B69" i="33"/>
  <c r="I69" i="33"/>
  <c r="B70" i="33"/>
  <c r="I70" i="33"/>
  <c r="B71" i="33"/>
  <c r="I71" i="33"/>
  <c r="B72" i="33"/>
  <c r="I72" i="33"/>
  <c r="B73" i="33"/>
  <c r="I73" i="33"/>
  <c r="B74" i="33"/>
  <c r="I74" i="33"/>
  <c r="B75" i="33"/>
  <c r="I75" i="33"/>
  <c r="B76" i="33"/>
  <c r="I76" i="33"/>
  <c r="B77" i="33"/>
  <c r="I77" i="33"/>
  <c r="B78" i="33"/>
  <c r="I78" i="33"/>
  <c r="B79" i="33"/>
  <c r="I79" i="33"/>
  <c r="B80" i="33"/>
  <c r="I80" i="33"/>
  <c r="B81" i="33"/>
  <c r="I81" i="33"/>
  <c r="B82" i="33"/>
  <c r="I82" i="33"/>
  <c r="B83" i="33"/>
  <c r="I83" i="33"/>
  <c r="B84" i="33"/>
  <c r="I84" i="33"/>
  <c r="B85" i="33"/>
  <c r="I85" i="33"/>
  <c r="B86" i="33"/>
  <c r="I86" i="33"/>
  <c r="B87" i="33"/>
  <c r="I87" i="33"/>
  <c r="B88" i="33"/>
  <c r="I88" i="33"/>
  <c r="B89" i="33"/>
  <c r="I89" i="33"/>
  <c r="B90" i="33"/>
  <c r="I90" i="33"/>
  <c r="B91" i="33"/>
  <c r="I91" i="33"/>
  <c r="B92" i="33"/>
  <c r="I92" i="33"/>
  <c r="B93" i="33"/>
  <c r="I93" i="33"/>
  <c r="B94" i="33"/>
  <c r="I94" i="33"/>
  <c r="B95" i="33"/>
  <c r="I95" i="33"/>
  <c r="B96" i="33"/>
  <c r="I96" i="33"/>
  <c r="B97" i="33"/>
  <c r="I97" i="33"/>
  <c r="B98" i="33"/>
  <c r="I98" i="33"/>
  <c r="B99" i="33"/>
  <c r="I99" i="33"/>
  <c r="B100" i="33"/>
  <c r="I100" i="33"/>
  <c r="B101" i="33"/>
  <c r="I101" i="33"/>
  <c r="B102" i="33"/>
  <c r="I102" i="33"/>
  <c r="B103" i="33"/>
  <c r="I103" i="33"/>
  <c r="B104" i="33"/>
  <c r="I104" i="33"/>
  <c r="B105" i="33"/>
  <c r="I105" i="33"/>
  <c r="B106" i="33"/>
  <c r="I106" i="33"/>
  <c r="B107" i="33"/>
  <c r="I107" i="33"/>
  <c r="B108" i="33"/>
  <c r="I108" i="33"/>
  <c r="B109" i="33"/>
  <c r="I109" i="33"/>
  <c r="B110" i="33"/>
  <c r="I110" i="33"/>
  <c r="B111" i="33"/>
  <c r="I111" i="33"/>
  <c r="B112" i="33"/>
  <c r="I112" i="33"/>
  <c r="B113" i="33"/>
  <c r="I113" i="33"/>
  <c r="B114" i="33"/>
  <c r="I114" i="33"/>
  <c r="B115" i="33"/>
  <c r="I115" i="33"/>
  <c r="B116" i="33"/>
  <c r="I116" i="33"/>
  <c r="B117" i="33"/>
  <c r="I117" i="33"/>
  <c r="B118" i="33"/>
  <c r="I118" i="33"/>
  <c r="B119" i="33"/>
  <c r="I119" i="33"/>
  <c r="B120" i="33"/>
  <c r="I120" i="33"/>
  <c r="B121" i="33"/>
  <c r="I121" i="33"/>
  <c r="B122" i="33"/>
  <c r="I122" i="33"/>
  <c r="B123" i="33"/>
  <c r="I123" i="33"/>
  <c r="B124" i="33"/>
  <c r="I124" i="33"/>
  <c r="B125" i="33"/>
  <c r="I125" i="33"/>
  <c r="B126" i="33"/>
  <c r="I126" i="33"/>
  <c r="B127" i="33"/>
  <c r="I127" i="33"/>
  <c r="B128" i="33"/>
  <c r="I128" i="33"/>
  <c r="B129" i="33"/>
  <c r="I129" i="33"/>
  <c r="B130" i="33"/>
  <c r="I130" i="33"/>
  <c r="B131" i="33"/>
  <c r="I131" i="33"/>
  <c r="B132" i="33"/>
  <c r="I132" i="33"/>
  <c r="B133" i="33"/>
  <c r="I133" i="33"/>
  <c r="B134" i="33"/>
  <c r="I134" i="33"/>
  <c r="B135" i="33"/>
  <c r="I135" i="33"/>
  <c r="B136" i="33"/>
  <c r="I136" i="33"/>
  <c r="B137" i="33"/>
  <c r="I137" i="33"/>
  <c r="B138" i="33"/>
  <c r="I138" i="33"/>
  <c r="B139" i="33"/>
  <c r="I139" i="33"/>
  <c r="B140" i="33"/>
  <c r="I140" i="33"/>
  <c r="B141" i="33"/>
  <c r="I141" i="33"/>
  <c r="B142" i="33"/>
  <c r="I142" i="33"/>
  <c r="B143" i="33"/>
  <c r="I143" i="33"/>
  <c r="B144" i="33"/>
  <c r="I144" i="33"/>
  <c r="B145" i="33"/>
  <c r="I145" i="33"/>
  <c r="B146" i="33"/>
  <c r="I146" i="33"/>
  <c r="B147" i="33"/>
  <c r="I147" i="33"/>
  <c r="B148" i="33"/>
  <c r="I148" i="33"/>
  <c r="B149" i="33"/>
  <c r="I149" i="33"/>
  <c r="B150" i="33"/>
  <c r="I150" i="33"/>
  <c r="B151" i="33"/>
  <c r="I151" i="33"/>
  <c r="I7" i="39"/>
  <c r="J7" i="39" s="1"/>
  <c r="I8" i="39"/>
  <c r="J8" i="39" s="1"/>
  <c r="F9" i="39"/>
  <c r="I9" i="39"/>
  <c r="J9" i="39" s="1"/>
  <c r="I10" i="39"/>
  <c r="J10" i="39" s="1"/>
  <c r="I11" i="39"/>
  <c r="J11" i="39" s="1"/>
  <c r="F12" i="39"/>
  <c r="I12" i="39"/>
  <c r="J12" i="39" s="1"/>
  <c r="I13" i="39"/>
  <c r="J13" i="39" s="1"/>
  <c r="I14" i="39"/>
  <c r="J14" i="39" s="1"/>
  <c r="I15" i="39"/>
  <c r="J15" i="39" s="1"/>
  <c r="I16" i="39"/>
  <c r="J16" i="39" s="1"/>
  <c r="I17" i="39"/>
  <c r="J17" i="39" s="1"/>
  <c r="I18" i="39"/>
  <c r="J18" i="39" s="1"/>
  <c r="I19" i="39"/>
  <c r="J19" i="39" s="1"/>
  <c r="I20" i="39"/>
  <c r="J20" i="39" s="1"/>
  <c r="I21" i="39"/>
  <c r="J21" i="39" s="1"/>
  <c r="I22" i="39"/>
  <c r="J22" i="39" s="1"/>
  <c r="I23" i="39"/>
  <c r="J23" i="39" s="1"/>
  <c r="I24" i="39"/>
  <c r="J24" i="39" s="1"/>
  <c r="I25" i="39"/>
  <c r="J25" i="39" s="1"/>
  <c r="I26" i="39"/>
  <c r="J26" i="39" s="1"/>
  <c r="I27" i="39"/>
  <c r="J27" i="39" s="1"/>
  <c r="I28" i="39"/>
  <c r="J28" i="39" s="1"/>
  <c r="I29" i="39"/>
  <c r="J29" i="39" s="1"/>
  <c r="I30" i="39"/>
  <c r="J30" i="39" s="1"/>
  <c r="I31" i="39"/>
  <c r="J31" i="39" s="1"/>
  <c r="I32" i="39"/>
  <c r="J32" i="39" s="1"/>
  <c r="I33" i="39"/>
  <c r="J33" i="39" s="1"/>
  <c r="I34" i="39"/>
  <c r="J34" i="39" s="1"/>
  <c r="I35" i="39"/>
  <c r="J35" i="39" s="1"/>
  <c r="I36" i="39"/>
  <c r="J36" i="39" s="1"/>
  <c r="I37" i="39"/>
  <c r="J37" i="39" s="1"/>
  <c r="I38" i="39"/>
  <c r="J38" i="39" s="1"/>
  <c r="I39" i="39"/>
  <c r="J39" i="39" s="1"/>
  <c r="I40" i="39"/>
  <c r="J40" i="39" s="1"/>
  <c r="I41" i="39"/>
  <c r="J41" i="39" s="1"/>
  <c r="I42" i="39"/>
  <c r="J42" i="39" s="1"/>
  <c r="I43" i="39"/>
  <c r="J43" i="39" s="1"/>
  <c r="I44" i="39"/>
  <c r="J44" i="39" s="1"/>
  <c r="I45" i="39"/>
  <c r="J45" i="39" s="1"/>
  <c r="I46" i="39"/>
  <c r="J46" i="39" s="1"/>
  <c r="I47" i="39"/>
  <c r="J47" i="39" s="1"/>
  <c r="I48" i="39"/>
  <c r="J48" i="39" s="1"/>
  <c r="I49" i="39"/>
  <c r="J49" i="39" s="1"/>
  <c r="I50" i="39"/>
  <c r="J50" i="39" s="1"/>
  <c r="I51" i="39"/>
  <c r="J51" i="39" s="1"/>
  <c r="I52" i="39"/>
  <c r="J52" i="39" s="1"/>
  <c r="I53" i="39"/>
  <c r="J53" i="39" s="1"/>
  <c r="I54" i="39"/>
  <c r="J54" i="39" s="1"/>
  <c r="I55" i="39"/>
  <c r="J55" i="39" s="1"/>
  <c r="I56" i="39"/>
  <c r="J56" i="39" s="1"/>
  <c r="I57" i="39"/>
  <c r="J57" i="39" s="1"/>
  <c r="I58" i="39"/>
  <c r="J58" i="39" s="1"/>
  <c r="I59" i="39"/>
  <c r="J59" i="39" s="1"/>
  <c r="I60" i="39"/>
  <c r="J60" i="39" s="1"/>
  <c r="I61" i="39"/>
  <c r="J61" i="39" s="1"/>
  <c r="I62" i="39"/>
  <c r="J62" i="39" s="1"/>
  <c r="I63" i="39"/>
  <c r="J63" i="39" s="1"/>
  <c r="I64" i="39"/>
  <c r="J64" i="39" s="1"/>
  <c r="I65" i="39"/>
  <c r="J65" i="39" s="1"/>
  <c r="I66" i="39"/>
  <c r="J66" i="39" s="1"/>
  <c r="I67" i="39"/>
  <c r="J67" i="39" s="1"/>
  <c r="I68" i="39"/>
  <c r="J68" i="39" s="1"/>
  <c r="I69" i="39"/>
  <c r="J69" i="39" s="1"/>
  <c r="I70" i="39"/>
  <c r="J70" i="39" s="1"/>
  <c r="I71" i="39"/>
  <c r="J71" i="39" s="1"/>
  <c r="I72" i="39"/>
  <c r="J72" i="39" s="1"/>
  <c r="I73" i="39"/>
  <c r="J73" i="39" s="1"/>
  <c r="I74" i="39"/>
  <c r="J74" i="39" s="1"/>
  <c r="I75" i="39"/>
  <c r="J75" i="39" s="1"/>
  <c r="I76" i="39"/>
  <c r="J76" i="39" s="1"/>
  <c r="I77" i="39"/>
  <c r="J77" i="39" s="1"/>
  <c r="I78" i="39"/>
  <c r="J78" i="39" s="1"/>
  <c r="I79" i="39"/>
  <c r="J79" i="39" s="1"/>
  <c r="I80" i="39"/>
  <c r="J80" i="39" s="1"/>
  <c r="I81" i="39"/>
  <c r="J81" i="39" s="1"/>
  <c r="I82" i="39"/>
  <c r="J82" i="39" s="1"/>
  <c r="I83" i="39"/>
  <c r="J83" i="39" s="1"/>
  <c r="I84" i="39"/>
  <c r="J84" i="39" s="1"/>
  <c r="I85" i="39"/>
  <c r="J85" i="39" s="1"/>
  <c r="I86" i="39"/>
  <c r="J86" i="39" s="1"/>
  <c r="I87" i="39"/>
  <c r="J87" i="39" s="1"/>
  <c r="I88" i="39"/>
  <c r="J88" i="39" s="1"/>
  <c r="I89" i="39"/>
  <c r="J89" i="39" s="1"/>
  <c r="I90" i="39"/>
  <c r="J90" i="39" s="1"/>
  <c r="I91" i="39"/>
  <c r="J91" i="39" s="1"/>
  <c r="I92" i="39"/>
  <c r="J92" i="39" s="1"/>
  <c r="I93" i="39"/>
  <c r="J93" i="39" s="1"/>
  <c r="I94" i="39"/>
  <c r="J94" i="39" s="1"/>
  <c r="I95" i="39"/>
  <c r="J95" i="39" s="1"/>
  <c r="I96" i="39"/>
  <c r="J96" i="39" s="1"/>
  <c r="I97" i="39"/>
  <c r="J97" i="39" s="1"/>
  <c r="I98" i="39"/>
  <c r="J98" i="39" s="1"/>
  <c r="I99" i="39"/>
  <c r="J99" i="39" s="1"/>
  <c r="I100" i="39"/>
  <c r="J100" i="39" s="1"/>
  <c r="I101" i="39"/>
  <c r="J101" i="39" s="1"/>
  <c r="I102" i="39"/>
  <c r="J102" i="39" s="1"/>
  <c r="I103" i="39"/>
  <c r="J103" i="39" s="1"/>
  <c r="I104" i="39"/>
  <c r="J104" i="39" s="1"/>
  <c r="I105" i="39"/>
  <c r="J105" i="39" s="1"/>
  <c r="I106" i="39"/>
  <c r="J106" i="39" s="1"/>
  <c r="I107" i="39"/>
  <c r="J107" i="39" s="1"/>
  <c r="I108" i="39"/>
  <c r="J108" i="39" s="1"/>
  <c r="I109" i="39"/>
  <c r="J109" i="39" s="1"/>
  <c r="I110" i="39"/>
  <c r="J110" i="39" s="1"/>
  <c r="I111" i="39"/>
  <c r="J111" i="39" s="1"/>
  <c r="I112" i="39"/>
  <c r="J112" i="39" s="1"/>
  <c r="I113" i="39"/>
  <c r="J113" i="39" s="1"/>
  <c r="I114" i="39"/>
  <c r="J114" i="39" s="1"/>
  <c r="I115" i="39"/>
  <c r="J115" i="39" s="1"/>
  <c r="I116" i="39"/>
  <c r="J116" i="39" s="1"/>
  <c r="I117" i="39"/>
  <c r="J117" i="39" s="1"/>
  <c r="I118" i="39"/>
  <c r="J118" i="39" s="1"/>
  <c r="I119" i="39"/>
  <c r="J119" i="39" s="1"/>
  <c r="I120" i="39"/>
  <c r="J120" i="39" s="1"/>
  <c r="I121" i="39"/>
  <c r="J121" i="39" s="1"/>
  <c r="I122" i="39"/>
  <c r="J122" i="39" s="1"/>
  <c r="I123" i="39"/>
  <c r="J123" i="39" s="1"/>
  <c r="I124" i="39"/>
  <c r="J124" i="39" s="1"/>
  <c r="I125" i="39"/>
  <c r="J125" i="39" s="1"/>
  <c r="I126" i="39"/>
  <c r="J126" i="39" s="1"/>
  <c r="I127" i="39"/>
  <c r="J127" i="39" s="1"/>
  <c r="I128" i="39"/>
  <c r="J128" i="39" s="1"/>
  <c r="I129" i="39"/>
  <c r="J129" i="39" s="1"/>
  <c r="I130" i="39"/>
  <c r="J130" i="39" s="1"/>
  <c r="I131" i="39"/>
  <c r="J131" i="39" s="1"/>
  <c r="I132" i="39"/>
  <c r="J132" i="39" s="1"/>
  <c r="I133" i="39"/>
  <c r="J133" i="39" s="1"/>
  <c r="I134" i="39"/>
  <c r="J134" i="39" s="1"/>
  <c r="I135" i="39"/>
  <c r="J135" i="39" s="1"/>
  <c r="I136" i="39"/>
  <c r="J136" i="39" s="1"/>
  <c r="I137" i="39"/>
  <c r="J137" i="39" s="1"/>
  <c r="I138" i="39"/>
  <c r="J138" i="39" s="1"/>
  <c r="I139" i="39"/>
  <c r="J139" i="39" s="1"/>
  <c r="I140" i="39"/>
  <c r="J140" i="39" s="1"/>
  <c r="I141" i="39"/>
  <c r="J141" i="39" s="1"/>
  <c r="I142" i="39"/>
  <c r="J142" i="39" s="1"/>
  <c r="I143" i="39"/>
  <c r="J143" i="39" s="1"/>
  <c r="I144" i="39"/>
  <c r="J144" i="39" s="1"/>
  <c r="I145" i="39"/>
  <c r="J145" i="39" s="1"/>
  <c r="I146" i="39"/>
  <c r="J146" i="39" s="1"/>
  <c r="I147" i="39"/>
  <c r="J147" i="39" s="1"/>
  <c r="I148" i="39"/>
  <c r="J148" i="39" s="1"/>
  <c r="I149" i="39"/>
  <c r="J149" i="39" s="1"/>
  <c r="I150" i="39"/>
  <c r="J150" i="39" s="1"/>
  <c r="I151" i="39"/>
  <c r="J151" i="39" s="1"/>
  <c r="I152" i="39"/>
  <c r="J152" i="39" s="1"/>
  <c r="I153" i="39"/>
  <c r="J153" i="39" s="1"/>
  <c r="I154" i="39"/>
  <c r="J154" i="39" s="1"/>
  <c r="I155" i="39"/>
  <c r="J155" i="39" s="1"/>
  <c r="I156" i="39"/>
  <c r="J156" i="39" s="1"/>
  <c r="E561" i="39"/>
  <c r="D566" i="39"/>
  <c r="D567" i="39"/>
  <c r="D568" i="39"/>
  <c r="E53" i="50"/>
  <c r="E55" i="50" s="1"/>
  <c r="E59" i="50" s="1"/>
  <c r="E63" i="50" s="1"/>
  <c r="G53" i="50"/>
  <c r="G55" i="50" s="1"/>
  <c r="G59" i="50" s="1"/>
  <c r="G63" i="50" s="1"/>
  <c r="E66" i="50"/>
  <c r="G66" i="50"/>
  <c r="S16" i="53"/>
  <c r="S17" i="53"/>
  <c r="S18" i="53"/>
  <c r="S19" i="53"/>
  <c r="S20" i="53"/>
  <c r="S21" i="53"/>
  <c r="S22" i="53"/>
  <c r="S23" i="53"/>
  <c r="S24" i="53"/>
  <c r="S25" i="53"/>
  <c r="S26" i="53"/>
  <c r="S27" i="53"/>
  <c r="S28" i="53"/>
  <c r="S29" i="53"/>
  <c r="S30" i="53"/>
  <c r="S31" i="53"/>
  <c r="S32" i="53"/>
  <c r="S33" i="53"/>
  <c r="S34" i="53"/>
  <c r="S35" i="53"/>
  <c r="S36" i="53"/>
  <c r="S37" i="53"/>
  <c r="S38" i="53"/>
  <c r="S39" i="53"/>
  <c r="S40" i="53"/>
  <c r="S41" i="53"/>
  <c r="S42" i="53"/>
  <c r="S43" i="53"/>
  <c r="S44" i="53"/>
  <c r="S45" i="53"/>
  <c r="S46" i="53"/>
  <c r="S47" i="53"/>
  <c r="S48" i="53"/>
  <c r="S49" i="53"/>
  <c r="S50" i="53"/>
  <c r="S51" i="53"/>
  <c r="S52" i="53"/>
  <c r="S53" i="53"/>
  <c r="S54" i="53"/>
  <c r="S55" i="53"/>
  <c r="S56" i="53"/>
  <c r="S57" i="53"/>
  <c r="S58" i="53"/>
  <c r="S59" i="53"/>
  <c r="S60" i="53"/>
  <c r="S61" i="53"/>
  <c r="S62" i="53"/>
  <c r="S63" i="53"/>
  <c r="S64" i="53"/>
  <c r="S65" i="53"/>
  <c r="S66" i="53"/>
  <c r="S67" i="53"/>
  <c r="S68" i="53"/>
  <c r="S69" i="53"/>
  <c r="E70" i="53"/>
  <c r="F70" i="53"/>
  <c r="G70" i="53"/>
  <c r="H70" i="53"/>
  <c r="I70" i="53"/>
  <c r="J70" i="53"/>
  <c r="K70" i="53"/>
  <c r="L70" i="53"/>
  <c r="M70" i="53"/>
  <c r="N70" i="53"/>
  <c r="Q70" i="53"/>
  <c r="R70" i="53"/>
  <c r="A6" i="30"/>
  <c r="B6" i="30" s="1"/>
  <c r="C1" i="31"/>
  <c r="I38" i="48"/>
  <c r="I39" i="48"/>
  <c r="I40" i="48"/>
  <c r="I41" i="48"/>
  <c r="H50" i="48"/>
  <c r="E2" i="29"/>
  <c r="E6" i="29"/>
  <c r="F6" i="29"/>
  <c r="J15" i="29"/>
  <c r="AD15" i="29" s="1"/>
  <c r="J16" i="29"/>
  <c r="AD16" i="29" s="1"/>
  <c r="J17" i="29"/>
  <c r="AD17" i="29" s="1"/>
  <c r="J18" i="29"/>
  <c r="AD18" i="29" s="1"/>
  <c r="J19" i="29"/>
  <c r="AD19" i="29"/>
  <c r="J20" i="29"/>
  <c r="AD20" i="29"/>
  <c r="E21" i="29"/>
  <c r="G21" i="29"/>
  <c r="H21" i="29"/>
  <c r="M21" i="29"/>
  <c r="N21" i="29"/>
  <c r="O21" i="29"/>
  <c r="P21" i="29"/>
  <c r="Q21" i="29"/>
  <c r="R21" i="29"/>
  <c r="S21" i="29"/>
  <c r="T21" i="29"/>
  <c r="U21" i="29"/>
  <c r="W21" i="29"/>
  <c r="X21" i="29"/>
  <c r="Y21" i="29"/>
  <c r="Z21" i="29"/>
  <c r="AA21" i="29"/>
  <c r="AB21" i="29"/>
  <c r="AC21" i="29"/>
  <c r="J23" i="29"/>
  <c r="AD23" i="29" s="1"/>
  <c r="J24" i="29"/>
  <c r="AD24" i="29" s="1"/>
  <c r="J25" i="29"/>
  <c r="AD25" i="29" s="1"/>
  <c r="J26" i="29"/>
  <c r="AD26" i="29"/>
  <c r="J27" i="29"/>
  <c r="AD27" i="29" s="1"/>
  <c r="J28" i="29"/>
  <c r="AD28" i="29" s="1"/>
  <c r="E29" i="29"/>
  <c r="F29" i="29"/>
  <c r="G29" i="29"/>
  <c r="H29" i="29"/>
  <c r="L29" i="29"/>
  <c r="M29" i="29"/>
  <c r="N29" i="29"/>
  <c r="O29" i="29"/>
  <c r="P29" i="29"/>
  <c r="Q29" i="29"/>
  <c r="R29" i="29"/>
  <c r="S29" i="29"/>
  <c r="T29" i="29"/>
  <c r="U29" i="29"/>
  <c r="W29" i="29"/>
  <c r="X29" i="29"/>
  <c r="Y29" i="29"/>
  <c r="Z29" i="29"/>
  <c r="AA29" i="29"/>
  <c r="AB29" i="29"/>
  <c r="AC29" i="29"/>
  <c r="J31" i="29"/>
  <c r="AD31" i="29" s="1"/>
  <c r="J32" i="29"/>
  <c r="AD32" i="29" s="1"/>
  <c r="J33" i="29"/>
  <c r="AD33" i="29"/>
  <c r="J34" i="29"/>
  <c r="AD34" i="29" s="1"/>
  <c r="J35" i="29"/>
  <c r="AD35" i="29" s="1"/>
  <c r="J36" i="29"/>
  <c r="AD36" i="29" s="1"/>
  <c r="E37" i="29"/>
  <c r="F37" i="29"/>
  <c r="G37" i="29"/>
  <c r="H37" i="29"/>
  <c r="L37" i="29"/>
  <c r="M37" i="29"/>
  <c r="N37" i="29"/>
  <c r="O37" i="29"/>
  <c r="P37" i="29"/>
  <c r="Q37" i="29"/>
  <c r="R37" i="29"/>
  <c r="S37" i="29"/>
  <c r="T37" i="29"/>
  <c r="U37" i="29"/>
  <c r="W37" i="29"/>
  <c r="X37" i="29"/>
  <c r="Y37" i="29"/>
  <c r="Z37" i="29"/>
  <c r="AA37" i="29"/>
  <c r="AB37" i="29"/>
  <c r="AC37" i="29"/>
  <c r="J39" i="29"/>
  <c r="AD39" i="29" s="1"/>
  <c r="J40" i="29"/>
  <c r="AD40" i="29" s="1"/>
  <c r="J41" i="29"/>
  <c r="AD41" i="29" s="1"/>
  <c r="J42" i="29"/>
  <c r="AD42" i="29"/>
  <c r="J43" i="29"/>
  <c r="AD43" i="29"/>
  <c r="J44" i="29"/>
  <c r="AD44" i="29" s="1"/>
  <c r="I45" i="29"/>
  <c r="L45" i="29"/>
  <c r="M45" i="29"/>
  <c r="N45" i="29"/>
  <c r="O45" i="29"/>
  <c r="P45" i="29"/>
  <c r="Q45" i="29"/>
  <c r="R45" i="29"/>
  <c r="S45" i="29"/>
  <c r="T45" i="29"/>
  <c r="U45" i="29"/>
  <c r="W45" i="29"/>
  <c r="X45" i="29"/>
  <c r="Y45" i="29"/>
  <c r="Z45" i="29"/>
  <c r="AA45" i="29"/>
  <c r="AB45" i="29"/>
  <c r="AC45" i="29"/>
  <c r="J47" i="29"/>
  <c r="AD47" i="29"/>
  <c r="J48" i="29"/>
  <c r="AD48" i="29"/>
  <c r="J49" i="29"/>
  <c r="AD49" i="29" s="1"/>
  <c r="E50" i="29"/>
  <c r="F50" i="29"/>
  <c r="G50" i="29"/>
  <c r="H50" i="29"/>
  <c r="L50" i="29"/>
  <c r="M50" i="29"/>
  <c r="N50" i="29"/>
  <c r="O50" i="29"/>
  <c r="P50" i="29"/>
  <c r="Q50" i="29"/>
  <c r="R50" i="29"/>
  <c r="S50" i="29"/>
  <c r="T50" i="29"/>
  <c r="U50" i="29"/>
  <c r="W50" i="29"/>
  <c r="X50" i="29"/>
  <c r="Y50" i="29"/>
  <c r="Z50" i="29"/>
  <c r="AA50" i="29"/>
  <c r="AB50" i="29"/>
  <c r="AC50" i="29"/>
  <c r="J52" i="29"/>
  <c r="AD52" i="29"/>
  <c r="J55" i="29"/>
  <c r="AD55" i="29" s="1"/>
  <c r="J56" i="29"/>
  <c r="AD56" i="29"/>
  <c r="J57" i="29"/>
  <c r="AD57" i="29" s="1"/>
  <c r="J58" i="29"/>
  <c r="AD58" i="29" s="1"/>
  <c r="J59" i="29"/>
  <c r="AD59" i="29"/>
  <c r="E60" i="29"/>
  <c r="G60" i="29"/>
  <c r="H60" i="29"/>
  <c r="L60" i="29"/>
  <c r="M60" i="29"/>
  <c r="N60" i="29"/>
  <c r="O60" i="29"/>
  <c r="P60" i="29"/>
  <c r="Q60" i="29"/>
  <c r="R60" i="29"/>
  <c r="S60" i="29"/>
  <c r="T60" i="29"/>
  <c r="U60" i="29"/>
  <c r="X60" i="29"/>
  <c r="Y60" i="29"/>
  <c r="Z60" i="29"/>
  <c r="AA60" i="29"/>
  <c r="AB60" i="29"/>
  <c r="AC60" i="29"/>
  <c r="J62" i="29"/>
  <c r="AD62" i="29" s="1"/>
  <c r="J63" i="29"/>
  <c r="AD63" i="29" s="1"/>
  <c r="J64" i="29"/>
  <c r="AD64" i="29"/>
  <c r="E65" i="29"/>
  <c r="F65" i="29"/>
  <c r="G65" i="29"/>
  <c r="H65" i="29"/>
  <c r="J65" i="29"/>
  <c r="L65" i="29"/>
  <c r="M65" i="29"/>
  <c r="N65" i="29"/>
  <c r="O65" i="29"/>
  <c r="P65" i="29"/>
  <c r="Q65" i="29"/>
  <c r="R65" i="29"/>
  <c r="S65" i="29"/>
  <c r="T65" i="29"/>
  <c r="U65" i="29"/>
  <c r="W65" i="29"/>
  <c r="X65" i="29"/>
  <c r="Y65" i="29"/>
  <c r="Z65" i="29"/>
  <c r="AA65" i="29"/>
  <c r="AB65" i="29"/>
  <c r="AC65" i="29"/>
  <c r="J67" i="29"/>
  <c r="J68" i="29"/>
  <c r="AD68" i="29" s="1"/>
  <c r="E69" i="29"/>
  <c r="F69" i="29"/>
  <c r="G69" i="29"/>
  <c r="H69" i="29"/>
  <c r="L69" i="29"/>
  <c r="M69" i="29"/>
  <c r="N69" i="29"/>
  <c r="P69" i="29"/>
  <c r="Q69" i="29"/>
  <c r="R69" i="29"/>
  <c r="S69" i="29"/>
  <c r="T69" i="29"/>
  <c r="U69" i="29"/>
  <c r="W69" i="29"/>
  <c r="X69" i="29"/>
  <c r="Y69" i="29"/>
  <c r="Z69" i="29"/>
  <c r="AA69" i="29"/>
  <c r="AB69" i="29"/>
  <c r="AC69" i="29"/>
  <c r="J72" i="29"/>
  <c r="AD72" i="29" s="1"/>
  <c r="F73" i="29"/>
  <c r="G73" i="29"/>
  <c r="H73" i="29"/>
  <c r="L73" i="29"/>
  <c r="N73" i="29"/>
  <c r="O73" i="29"/>
  <c r="P73" i="29"/>
  <c r="Q73" i="29"/>
  <c r="R73" i="29"/>
  <c r="S73" i="29"/>
  <c r="T73" i="29"/>
  <c r="U73" i="29"/>
  <c r="W73" i="29"/>
  <c r="X73" i="29"/>
  <c r="Y73" i="29"/>
  <c r="Z73" i="29"/>
  <c r="AA73" i="29"/>
  <c r="AB73" i="29"/>
  <c r="AC73" i="29"/>
  <c r="J75" i="29"/>
  <c r="AD75" i="29" s="1"/>
  <c r="J76" i="29"/>
  <c r="AD76" i="29"/>
  <c r="J77" i="29"/>
  <c r="AD77" i="29"/>
  <c r="I78" i="29"/>
  <c r="J78" i="29" s="1"/>
  <c r="K78" i="29"/>
  <c r="L78" i="29"/>
  <c r="M78" i="29"/>
  <c r="N78" i="29"/>
  <c r="O78" i="29"/>
  <c r="P78" i="29"/>
  <c r="Q78" i="29"/>
  <c r="R78" i="29"/>
  <c r="S78" i="29"/>
  <c r="T78" i="29"/>
  <c r="U78" i="29"/>
  <c r="W78" i="29"/>
  <c r="X78" i="29"/>
  <c r="Y78" i="29"/>
  <c r="Z78" i="29"/>
  <c r="AA78" i="29"/>
  <c r="AB78" i="29"/>
  <c r="AC78" i="29"/>
  <c r="J80" i="29"/>
  <c r="AD80" i="29"/>
  <c r="J81" i="29"/>
  <c r="AD81" i="29" s="1"/>
  <c r="J82" i="29"/>
  <c r="AD82" i="29" s="1"/>
  <c r="E83" i="29"/>
  <c r="F83" i="29"/>
  <c r="G83" i="29"/>
  <c r="H83" i="29"/>
  <c r="L83" i="29"/>
  <c r="M83" i="29"/>
  <c r="N83" i="29"/>
  <c r="O83" i="29"/>
  <c r="P83" i="29"/>
  <c r="Q83" i="29"/>
  <c r="R83" i="29"/>
  <c r="S83" i="29"/>
  <c r="T83" i="29"/>
  <c r="U83" i="29"/>
  <c r="W83" i="29"/>
  <c r="X83" i="29"/>
  <c r="Y83" i="29"/>
  <c r="Z83" i="29"/>
  <c r="AA83" i="29"/>
  <c r="AB83" i="29"/>
  <c r="AC83" i="29"/>
  <c r="J85" i="29"/>
  <c r="AD85" i="29"/>
  <c r="J86" i="29"/>
  <c r="AD86" i="29"/>
  <c r="J87" i="29"/>
  <c r="AD87" i="29" s="1"/>
  <c r="J88" i="29"/>
  <c r="AD88" i="29" s="1"/>
  <c r="J89" i="29"/>
  <c r="AD89" i="29" s="1"/>
  <c r="J90" i="29"/>
  <c r="AD90" i="29"/>
  <c r="I91" i="29"/>
  <c r="J91" i="29" s="1"/>
  <c r="L91" i="29"/>
  <c r="M91" i="29"/>
  <c r="N91" i="29"/>
  <c r="O91" i="29"/>
  <c r="P91" i="29"/>
  <c r="Q91" i="29"/>
  <c r="R91" i="29"/>
  <c r="S91" i="29"/>
  <c r="T91" i="29"/>
  <c r="U91" i="29"/>
  <c r="W91" i="29"/>
  <c r="X91" i="29"/>
  <c r="Y91" i="29"/>
  <c r="Z91" i="29"/>
  <c r="AA91" i="29"/>
  <c r="AB91" i="29"/>
  <c r="AC91" i="29"/>
  <c r="J93" i="29"/>
  <c r="AD93" i="29" s="1"/>
  <c r="J94" i="29"/>
  <c r="AD94" i="29" s="1"/>
  <c r="J95" i="29"/>
  <c r="AD95" i="29" s="1"/>
  <c r="J96" i="29"/>
  <c r="AD96" i="29"/>
  <c r="E97" i="29"/>
  <c r="F97" i="29"/>
  <c r="G97" i="29"/>
  <c r="H97" i="29"/>
  <c r="L97" i="29"/>
  <c r="M97" i="29"/>
  <c r="N97" i="29"/>
  <c r="O97" i="29"/>
  <c r="P97" i="29"/>
  <c r="Q97" i="29"/>
  <c r="R97" i="29"/>
  <c r="S97" i="29"/>
  <c r="T97" i="29"/>
  <c r="U97" i="29"/>
  <c r="W97" i="29"/>
  <c r="X97" i="29"/>
  <c r="Y97" i="29"/>
  <c r="Z97" i="29"/>
  <c r="AA97" i="29"/>
  <c r="AB97" i="29"/>
  <c r="AC97" i="29"/>
  <c r="J99" i="29"/>
  <c r="AD99" i="29" s="1"/>
  <c r="J101" i="29"/>
  <c r="AD101" i="29"/>
  <c r="J102" i="29"/>
  <c r="AD102" i="29" s="1"/>
  <c r="J103" i="29"/>
  <c r="AD103" i="29" s="1"/>
  <c r="J104" i="29"/>
  <c r="AD104" i="29" s="1"/>
  <c r="E105" i="29"/>
  <c r="F105" i="29"/>
  <c r="G105" i="29"/>
  <c r="H105" i="29"/>
  <c r="L105" i="29"/>
  <c r="M105" i="29"/>
  <c r="N105" i="29"/>
  <c r="O105" i="29"/>
  <c r="P105" i="29"/>
  <c r="Q105" i="29"/>
  <c r="R105" i="29"/>
  <c r="S105" i="29"/>
  <c r="T105" i="29"/>
  <c r="U105" i="29"/>
  <c r="X105" i="29"/>
  <c r="Y105" i="29"/>
  <c r="Z105" i="29"/>
  <c r="AA105" i="29"/>
  <c r="AB105" i="29"/>
  <c r="AC105" i="29"/>
  <c r="J107" i="29"/>
  <c r="AD107" i="29" s="1"/>
  <c r="J108" i="29"/>
  <c r="AD108" i="29" s="1"/>
  <c r="J109" i="29"/>
  <c r="AD109" i="29" s="1"/>
  <c r="E110" i="29"/>
  <c r="F110" i="29"/>
  <c r="G110" i="29"/>
  <c r="H110" i="29"/>
  <c r="L110" i="29"/>
  <c r="M110" i="29"/>
  <c r="N110" i="29"/>
  <c r="O110" i="29"/>
  <c r="P110" i="29"/>
  <c r="Q110" i="29"/>
  <c r="R110" i="29"/>
  <c r="S110" i="29"/>
  <c r="T110" i="29"/>
  <c r="U110" i="29"/>
  <c r="W110" i="29"/>
  <c r="X110" i="29"/>
  <c r="Y110" i="29"/>
  <c r="Z110" i="29"/>
  <c r="AA110" i="29"/>
  <c r="AB110" i="29"/>
  <c r="AC110" i="29"/>
  <c r="J112" i="29"/>
  <c r="AD112" i="29"/>
  <c r="J114" i="29"/>
  <c r="AD114" i="29"/>
  <c r="J115" i="29"/>
  <c r="AD115" i="29" s="1"/>
  <c r="J116" i="29"/>
  <c r="E117" i="29"/>
  <c r="F117" i="29"/>
  <c r="G117" i="29"/>
  <c r="H117" i="29"/>
  <c r="K117" i="29"/>
  <c r="L117" i="29"/>
  <c r="O117" i="29"/>
  <c r="P117" i="29"/>
  <c r="Q117" i="29"/>
  <c r="R117" i="29"/>
  <c r="S117" i="29"/>
  <c r="T117" i="29"/>
  <c r="U117" i="29"/>
  <c r="X117" i="29"/>
  <c r="Z117" i="29"/>
  <c r="AA117" i="29"/>
  <c r="J119" i="29"/>
  <c r="AD119" i="29"/>
  <c r="J120" i="29"/>
  <c r="AD120" i="29" s="1"/>
  <c r="J121" i="29"/>
  <c r="AD121" i="29" s="1"/>
  <c r="E122" i="29"/>
  <c r="F122" i="29"/>
  <c r="G122" i="29"/>
  <c r="H122" i="29"/>
  <c r="L122" i="29"/>
  <c r="M122" i="29"/>
  <c r="N122" i="29"/>
  <c r="O122" i="29"/>
  <c r="P122" i="29"/>
  <c r="Q122" i="29"/>
  <c r="R122" i="29"/>
  <c r="S122" i="29"/>
  <c r="T122" i="29"/>
  <c r="U122" i="29"/>
  <c r="W122" i="29"/>
  <c r="X122" i="29"/>
  <c r="Y122" i="29"/>
  <c r="Z122" i="29"/>
  <c r="AA122" i="29"/>
  <c r="AC122" i="29"/>
  <c r="J124" i="29"/>
  <c r="AD124" i="29" s="1"/>
  <c r="J126" i="29"/>
  <c r="AD126" i="29" s="1"/>
  <c r="J127" i="29"/>
  <c r="AD127" i="29" s="1"/>
  <c r="J128" i="29"/>
  <c r="AD128" i="29"/>
  <c r="J129" i="29"/>
  <c r="AD129" i="29" s="1"/>
  <c r="E130" i="29"/>
  <c r="F130" i="29"/>
  <c r="G130" i="29"/>
  <c r="H130" i="29"/>
  <c r="L130" i="29"/>
  <c r="N130" i="29"/>
  <c r="O130" i="29"/>
  <c r="P130" i="29"/>
  <c r="Q130" i="29"/>
  <c r="R130" i="29"/>
  <c r="S130" i="29"/>
  <c r="T130" i="29"/>
  <c r="U130" i="29"/>
  <c r="W130" i="29"/>
  <c r="X130" i="29"/>
  <c r="Y130" i="29"/>
  <c r="Z130" i="29"/>
  <c r="AA130" i="29"/>
  <c r="AB130" i="29"/>
  <c r="J133" i="29"/>
  <c r="AD133" i="29"/>
  <c r="J134" i="29"/>
  <c r="AD134" i="29" s="1"/>
  <c r="F135" i="29"/>
  <c r="G135" i="29"/>
  <c r="H135" i="29"/>
  <c r="L135" i="29"/>
  <c r="M135" i="29"/>
  <c r="N135" i="29"/>
  <c r="O135" i="29"/>
  <c r="P135" i="29"/>
  <c r="Q135" i="29"/>
  <c r="R135" i="29"/>
  <c r="S135" i="29"/>
  <c r="T135" i="29"/>
  <c r="U135" i="29"/>
  <c r="W135" i="29"/>
  <c r="X135" i="29"/>
  <c r="Y135" i="29"/>
  <c r="Z135" i="29"/>
  <c r="AA135" i="29"/>
  <c r="AB135" i="29"/>
  <c r="AC135" i="29"/>
  <c r="J137" i="29"/>
  <c r="AD137" i="29"/>
  <c r="J138" i="29"/>
  <c r="AD138" i="29" s="1"/>
  <c r="J139" i="29"/>
  <c r="AD139" i="29"/>
  <c r="E140" i="29"/>
  <c r="F140" i="29"/>
  <c r="G140" i="29"/>
  <c r="H140" i="29"/>
  <c r="L140" i="29"/>
  <c r="M140" i="29"/>
  <c r="N140" i="29"/>
  <c r="O140" i="29"/>
  <c r="P140" i="29"/>
  <c r="Q140" i="29"/>
  <c r="R140" i="29"/>
  <c r="S140" i="29"/>
  <c r="T140" i="29"/>
  <c r="U140" i="29"/>
  <c r="W140" i="29"/>
  <c r="X140" i="29"/>
  <c r="Y140" i="29"/>
  <c r="Z140" i="29"/>
  <c r="AA140" i="29"/>
  <c r="AB140" i="29"/>
  <c r="AC140" i="29"/>
  <c r="J142" i="29"/>
  <c r="AD142" i="29" s="1"/>
  <c r="J143" i="29"/>
  <c r="AD143" i="29" s="1"/>
  <c r="J144" i="29"/>
  <c r="AD144" i="29" s="1"/>
  <c r="E145" i="29"/>
  <c r="F145" i="29"/>
  <c r="G145" i="29"/>
  <c r="H145" i="29"/>
  <c r="L145" i="29"/>
  <c r="M145" i="29"/>
  <c r="N145" i="29"/>
  <c r="O145" i="29"/>
  <c r="P145" i="29"/>
  <c r="Q145" i="29"/>
  <c r="R145" i="29"/>
  <c r="S145" i="29"/>
  <c r="T145" i="29"/>
  <c r="U145" i="29"/>
  <c r="W145" i="29"/>
  <c r="X145" i="29"/>
  <c r="Y145" i="29"/>
  <c r="Z145" i="29"/>
  <c r="AA145" i="29"/>
  <c r="AB145" i="29"/>
  <c r="AC145" i="29"/>
  <c r="J148" i="29"/>
  <c r="AD148" i="29" s="1"/>
  <c r="J149" i="29"/>
  <c r="AD149" i="29"/>
  <c r="J150" i="29"/>
  <c r="AD150" i="29" s="1"/>
  <c r="J151" i="29"/>
  <c r="AD151" i="29" s="1"/>
  <c r="J152" i="29"/>
  <c r="AD152" i="29" s="1"/>
  <c r="F153" i="29"/>
  <c r="G153" i="29"/>
  <c r="H153" i="29"/>
  <c r="L153" i="29"/>
  <c r="M153" i="29"/>
  <c r="N153" i="29"/>
  <c r="O153" i="29"/>
  <c r="P153" i="29"/>
  <c r="Q153" i="29"/>
  <c r="R153" i="29"/>
  <c r="S153" i="29"/>
  <c r="T153" i="29"/>
  <c r="U153" i="29"/>
  <c r="W153" i="29"/>
  <c r="X153" i="29"/>
  <c r="Y153" i="29"/>
  <c r="Z153" i="29"/>
  <c r="AA153" i="29"/>
  <c r="AB153" i="29"/>
  <c r="AC153" i="29"/>
  <c r="J155" i="29"/>
  <c r="AD155" i="29" s="1"/>
  <c r="J156" i="29"/>
  <c r="AD156" i="29" s="1"/>
  <c r="J157" i="29"/>
  <c r="AD157" i="29" s="1"/>
  <c r="J158" i="29"/>
  <c r="AD158" i="29"/>
  <c r="J159" i="29"/>
  <c r="AD159" i="29" s="1"/>
  <c r="J160" i="29"/>
  <c r="AD160" i="29" s="1"/>
  <c r="E161" i="29"/>
  <c r="F161" i="29"/>
  <c r="G161" i="29"/>
  <c r="H161" i="29"/>
  <c r="J161" i="29" s="1"/>
  <c r="L161" i="29"/>
  <c r="M161" i="29"/>
  <c r="N161" i="29"/>
  <c r="O161" i="29"/>
  <c r="P161" i="29"/>
  <c r="Q161" i="29"/>
  <c r="R161" i="29"/>
  <c r="S161" i="29"/>
  <c r="T161" i="29"/>
  <c r="U161" i="29"/>
  <c r="W161" i="29"/>
  <c r="X161" i="29"/>
  <c r="Y161" i="29"/>
  <c r="Z161" i="29"/>
  <c r="AA161" i="29"/>
  <c r="AB161" i="29"/>
  <c r="AC161" i="29"/>
  <c r="J163" i="29"/>
  <c r="AD163" i="29" s="1"/>
  <c r="J164" i="29"/>
  <c r="AD164" i="29"/>
  <c r="J165" i="29"/>
  <c r="AD165" i="29" s="1"/>
  <c r="J166" i="29"/>
  <c r="AD166" i="29"/>
  <c r="J167" i="29"/>
  <c r="AD167" i="29"/>
  <c r="J168" i="29"/>
  <c r="AD168" i="29"/>
  <c r="E169" i="29"/>
  <c r="F169" i="29"/>
  <c r="G169" i="29"/>
  <c r="H169" i="29"/>
  <c r="L169" i="29"/>
  <c r="M169" i="29"/>
  <c r="N169" i="29"/>
  <c r="O169" i="29"/>
  <c r="P169" i="29"/>
  <c r="Q169" i="29"/>
  <c r="R169" i="29"/>
  <c r="S169" i="29"/>
  <c r="T169" i="29"/>
  <c r="U169" i="29"/>
  <c r="W169" i="29"/>
  <c r="X169" i="29"/>
  <c r="Y169" i="29"/>
  <c r="Z169" i="29"/>
  <c r="AA169" i="29"/>
  <c r="AB169" i="29"/>
  <c r="AC169" i="29"/>
  <c r="C15" i="49"/>
  <c r="E676" i="1" s="1"/>
  <c r="E126" i="1" s="1"/>
  <c r="D15" i="49"/>
  <c r="F676" i="1" s="1"/>
  <c r="F126" i="1" s="1"/>
  <c r="E15" i="49"/>
  <c r="G676" i="1" s="1"/>
  <c r="G126" i="1" s="1"/>
  <c r="F15" i="49"/>
  <c r="H676" i="1" s="1"/>
  <c r="H126" i="1" s="1"/>
  <c r="J15" i="49"/>
  <c r="E841" i="1" s="1"/>
  <c r="K15" i="49"/>
  <c r="F841" i="1" s="1"/>
  <c r="L15" i="49"/>
  <c r="M15" i="49"/>
  <c r="N15" i="49"/>
  <c r="O15" i="49"/>
  <c r="P15" i="49"/>
  <c r="Q15" i="49"/>
  <c r="R15" i="49"/>
  <c r="S15" i="49"/>
  <c r="H841" i="1" s="1"/>
  <c r="U15" i="49"/>
  <c r="V15" i="49"/>
  <c r="W15" i="49"/>
  <c r="J841" i="1" s="1"/>
  <c r="X15" i="49"/>
  <c r="K841" i="1" s="1"/>
  <c r="Y15" i="49"/>
  <c r="L841" i="1" s="1"/>
  <c r="Z15" i="49"/>
  <c r="M841" i="1" s="1"/>
  <c r="AA15" i="49"/>
  <c r="N841" i="1" s="1"/>
  <c r="C16" i="49"/>
  <c r="E677" i="1" s="1"/>
  <c r="E127" i="1" s="1"/>
  <c r="D16" i="49"/>
  <c r="F677" i="1" s="1"/>
  <c r="F127" i="1" s="1"/>
  <c r="E16" i="49"/>
  <c r="G677" i="1" s="1"/>
  <c r="G127" i="1" s="1"/>
  <c r="F16" i="49"/>
  <c r="H677" i="1" s="1"/>
  <c r="H127" i="1" s="1"/>
  <c r="J16" i="49"/>
  <c r="E842" i="1" s="1"/>
  <c r="K16" i="49"/>
  <c r="F842" i="1" s="1"/>
  <c r="L16" i="49"/>
  <c r="M16" i="49"/>
  <c r="N16" i="49"/>
  <c r="O16" i="49"/>
  <c r="P16" i="49"/>
  <c r="Q16" i="49"/>
  <c r="R16" i="49"/>
  <c r="S16" i="49"/>
  <c r="H842" i="1" s="1"/>
  <c r="U16" i="49"/>
  <c r="V16" i="49"/>
  <c r="W16" i="49"/>
  <c r="J842" i="1" s="1"/>
  <c r="X16" i="49"/>
  <c r="Y16" i="49"/>
  <c r="Z16" i="49"/>
  <c r="M842" i="1" s="1"/>
  <c r="AA16" i="49"/>
  <c r="N842" i="1" s="1"/>
  <c r="C17" i="49"/>
  <c r="E678" i="1" s="1"/>
  <c r="E128" i="1" s="1"/>
  <c r="D17" i="49"/>
  <c r="F678" i="1" s="1"/>
  <c r="F128" i="1" s="1"/>
  <c r="E17" i="49"/>
  <c r="G678" i="1" s="1"/>
  <c r="G128" i="1" s="1"/>
  <c r="F17" i="49"/>
  <c r="J17" i="49"/>
  <c r="E843" i="1" s="1"/>
  <c r="K17" i="49"/>
  <c r="L17" i="49"/>
  <c r="M17" i="49"/>
  <c r="N17" i="49"/>
  <c r="O17" i="49"/>
  <c r="P17" i="49"/>
  <c r="Q17" i="49"/>
  <c r="R17" i="49"/>
  <c r="S17" i="49"/>
  <c r="U17" i="49"/>
  <c r="V17" i="49"/>
  <c r="W17" i="49"/>
  <c r="J843" i="1" s="1"/>
  <c r="X17" i="49"/>
  <c r="K843" i="1" s="1"/>
  <c r="Y17" i="49"/>
  <c r="L843" i="1" s="1"/>
  <c r="Z17" i="49"/>
  <c r="M843" i="1" s="1"/>
  <c r="AA17" i="49"/>
  <c r="N843" i="1" s="1"/>
  <c r="C18" i="49"/>
  <c r="D18" i="49"/>
  <c r="F679" i="1" s="1"/>
  <c r="F129" i="1" s="1"/>
  <c r="E18" i="49"/>
  <c r="G679" i="1" s="1"/>
  <c r="G129" i="1" s="1"/>
  <c r="F18" i="49"/>
  <c r="H679" i="1" s="1"/>
  <c r="H129" i="1" s="1"/>
  <c r="J18" i="49"/>
  <c r="E844" i="1" s="1"/>
  <c r="K18" i="49"/>
  <c r="F844" i="1" s="1"/>
  <c r="L18" i="49"/>
  <c r="M18" i="49"/>
  <c r="N18" i="49"/>
  <c r="O18" i="49"/>
  <c r="P18" i="49"/>
  <c r="Q18" i="49"/>
  <c r="R18" i="49"/>
  <c r="S18" i="49"/>
  <c r="H844" i="1" s="1"/>
  <c r="U18" i="49"/>
  <c r="V18" i="49"/>
  <c r="W18" i="49"/>
  <c r="X18" i="49"/>
  <c r="K844" i="1" s="1"/>
  <c r="Y18" i="49"/>
  <c r="L844" i="1" s="1"/>
  <c r="Z18" i="49"/>
  <c r="M844" i="1" s="1"/>
  <c r="AA18" i="49"/>
  <c r="N844" i="1" s="1"/>
  <c r="C19" i="49"/>
  <c r="E680" i="1" s="1"/>
  <c r="E130" i="1" s="1"/>
  <c r="D19" i="49"/>
  <c r="E19" i="49"/>
  <c r="G680" i="1" s="1"/>
  <c r="G130" i="1" s="1"/>
  <c r="F19" i="49"/>
  <c r="H680" i="1" s="1"/>
  <c r="H130" i="1" s="1"/>
  <c r="J19" i="49"/>
  <c r="E845" i="1" s="1"/>
  <c r="K19" i="49"/>
  <c r="F845" i="1" s="1"/>
  <c r="L19" i="49"/>
  <c r="M19" i="49"/>
  <c r="N19" i="49"/>
  <c r="O19" i="49"/>
  <c r="P19" i="49"/>
  <c r="Q19" i="49"/>
  <c r="R19" i="49"/>
  <c r="S19" i="49"/>
  <c r="H845" i="1" s="1"/>
  <c r="U19" i="49"/>
  <c r="V19" i="49"/>
  <c r="W19" i="49"/>
  <c r="J845" i="1" s="1"/>
  <c r="X19" i="49"/>
  <c r="K845" i="1" s="1"/>
  <c r="Y19" i="49"/>
  <c r="Z19" i="49"/>
  <c r="M845" i="1" s="1"/>
  <c r="AA19" i="49"/>
  <c r="N845" i="1" s="1"/>
  <c r="C20" i="49"/>
  <c r="E681" i="1" s="1"/>
  <c r="E131" i="1" s="1"/>
  <c r="D20" i="49"/>
  <c r="E20" i="49"/>
  <c r="G681" i="1" s="1"/>
  <c r="G131" i="1" s="1"/>
  <c r="F20" i="49"/>
  <c r="H681" i="1" s="1"/>
  <c r="H131" i="1" s="1"/>
  <c r="J20" i="49"/>
  <c r="E846" i="1" s="1"/>
  <c r="K20" i="49"/>
  <c r="F846" i="1" s="1"/>
  <c r="L20" i="49"/>
  <c r="M20" i="49"/>
  <c r="N20" i="49"/>
  <c r="O20" i="49"/>
  <c r="P20" i="49"/>
  <c r="Q20" i="49"/>
  <c r="R20" i="49"/>
  <c r="S20" i="49"/>
  <c r="H846" i="1" s="1"/>
  <c r="U20" i="49"/>
  <c r="V20" i="49"/>
  <c r="W20" i="49"/>
  <c r="J846" i="1" s="1"/>
  <c r="X20" i="49"/>
  <c r="K846" i="1" s="1"/>
  <c r="Y20" i="49"/>
  <c r="L846" i="1" s="1"/>
  <c r="Z20" i="49"/>
  <c r="M846" i="1" s="1"/>
  <c r="AA20" i="49"/>
  <c r="N846" i="1" s="1"/>
  <c r="C23" i="49"/>
  <c r="D23" i="49"/>
  <c r="F684" i="1" s="1"/>
  <c r="F134" i="1" s="1"/>
  <c r="E23" i="49"/>
  <c r="G684" i="1" s="1"/>
  <c r="G134" i="1" s="1"/>
  <c r="F23" i="49"/>
  <c r="H684" i="1" s="1"/>
  <c r="H134" i="1" s="1"/>
  <c r="J23" i="49"/>
  <c r="E849" i="1" s="1"/>
  <c r="K23" i="49"/>
  <c r="F849" i="1" s="1"/>
  <c r="L23" i="49"/>
  <c r="M23" i="49"/>
  <c r="N23" i="49"/>
  <c r="O23" i="49"/>
  <c r="P23" i="49"/>
  <c r="Q23" i="49"/>
  <c r="R23" i="49"/>
  <c r="S23" i="49"/>
  <c r="H849" i="1" s="1"/>
  <c r="U23" i="49"/>
  <c r="V23" i="49"/>
  <c r="W23" i="49"/>
  <c r="J849" i="1" s="1"/>
  <c r="X23" i="49"/>
  <c r="K849" i="1" s="1"/>
  <c r="Y23" i="49"/>
  <c r="L849" i="1" s="1"/>
  <c r="Z23" i="49"/>
  <c r="M849" i="1" s="1"/>
  <c r="AA23" i="49"/>
  <c r="N849" i="1" s="1"/>
  <c r="C24" i="49"/>
  <c r="E685" i="1" s="1"/>
  <c r="E135" i="1" s="1"/>
  <c r="D24" i="49"/>
  <c r="F685" i="1" s="1"/>
  <c r="F135" i="1" s="1"/>
  <c r="E24" i="49"/>
  <c r="G685" i="1" s="1"/>
  <c r="G135" i="1" s="1"/>
  <c r="F24" i="49"/>
  <c r="J24" i="49"/>
  <c r="E850" i="1" s="1"/>
  <c r="K24" i="49"/>
  <c r="L24" i="49"/>
  <c r="M24" i="49"/>
  <c r="N24" i="49"/>
  <c r="O24" i="49"/>
  <c r="P24" i="49"/>
  <c r="Q24" i="49"/>
  <c r="R24" i="49"/>
  <c r="S24" i="49"/>
  <c r="H850" i="1" s="1"/>
  <c r="U24" i="49"/>
  <c r="V24" i="49"/>
  <c r="W24" i="49"/>
  <c r="J850" i="1" s="1"/>
  <c r="X24" i="49"/>
  <c r="K850" i="1" s="1"/>
  <c r="Y24" i="49"/>
  <c r="L850" i="1" s="1"/>
  <c r="Z24" i="49"/>
  <c r="M850" i="1" s="1"/>
  <c r="AA24" i="49"/>
  <c r="N850" i="1" s="1"/>
  <c r="C25" i="49"/>
  <c r="E686" i="1" s="1"/>
  <c r="E136" i="1" s="1"/>
  <c r="D25" i="49"/>
  <c r="F686" i="1" s="1"/>
  <c r="F136" i="1" s="1"/>
  <c r="E25" i="49"/>
  <c r="G686" i="1" s="1"/>
  <c r="G136" i="1" s="1"/>
  <c r="F25" i="49"/>
  <c r="H686" i="1" s="1"/>
  <c r="H136" i="1" s="1"/>
  <c r="J25" i="49"/>
  <c r="E851" i="1" s="1"/>
  <c r="K25" i="49"/>
  <c r="F851" i="1" s="1"/>
  <c r="L25" i="49"/>
  <c r="M25" i="49"/>
  <c r="N25" i="49"/>
  <c r="O25" i="49"/>
  <c r="P25" i="49"/>
  <c r="Q25" i="49"/>
  <c r="R25" i="49"/>
  <c r="S25" i="49"/>
  <c r="H851" i="1" s="1"/>
  <c r="U25" i="49"/>
  <c r="V25" i="49"/>
  <c r="W25" i="49"/>
  <c r="J851" i="1" s="1"/>
  <c r="X25" i="49"/>
  <c r="K851" i="1" s="1"/>
  <c r="Y25" i="49"/>
  <c r="L851" i="1" s="1"/>
  <c r="Z25" i="49"/>
  <c r="M851" i="1" s="1"/>
  <c r="AA25" i="49"/>
  <c r="N851" i="1" s="1"/>
  <c r="C26" i="49"/>
  <c r="D26" i="49"/>
  <c r="E26" i="49"/>
  <c r="G687" i="1" s="1"/>
  <c r="G137" i="1" s="1"/>
  <c r="F26" i="49"/>
  <c r="H687" i="1" s="1"/>
  <c r="H137" i="1" s="1"/>
  <c r="J26" i="49"/>
  <c r="E852" i="1" s="1"/>
  <c r="K26" i="49"/>
  <c r="F852" i="1" s="1"/>
  <c r="L26" i="49"/>
  <c r="M26" i="49"/>
  <c r="N26" i="49"/>
  <c r="O26" i="49"/>
  <c r="P26" i="49"/>
  <c r="Q26" i="49"/>
  <c r="R26" i="49"/>
  <c r="S26" i="49"/>
  <c r="U26" i="49"/>
  <c r="V26" i="49"/>
  <c r="W26" i="49"/>
  <c r="J852" i="1" s="1"/>
  <c r="X26" i="49"/>
  <c r="K852" i="1" s="1"/>
  <c r="Y26" i="49"/>
  <c r="L852" i="1" s="1"/>
  <c r="Z26" i="49"/>
  <c r="M852" i="1" s="1"/>
  <c r="AA26" i="49"/>
  <c r="N852" i="1" s="1"/>
  <c r="C27" i="49"/>
  <c r="E688" i="1" s="1"/>
  <c r="E138" i="1" s="1"/>
  <c r="D27" i="49"/>
  <c r="F688" i="1" s="1"/>
  <c r="F138" i="1" s="1"/>
  <c r="E27" i="49"/>
  <c r="G688" i="1" s="1"/>
  <c r="G138" i="1" s="1"/>
  <c r="F27" i="49"/>
  <c r="H688" i="1" s="1"/>
  <c r="H138" i="1" s="1"/>
  <c r="J27" i="49"/>
  <c r="E853" i="1" s="1"/>
  <c r="K27" i="49"/>
  <c r="F853" i="1" s="1"/>
  <c r="L27" i="49"/>
  <c r="M27" i="49"/>
  <c r="N27" i="49"/>
  <c r="O27" i="49"/>
  <c r="P27" i="49"/>
  <c r="Q27" i="49"/>
  <c r="R27" i="49"/>
  <c r="S27" i="49"/>
  <c r="H853" i="1" s="1"/>
  <c r="U27" i="49"/>
  <c r="V27" i="49"/>
  <c r="W27" i="49"/>
  <c r="X27" i="49"/>
  <c r="K853" i="1" s="1"/>
  <c r="Y27" i="49"/>
  <c r="L853" i="1" s="1"/>
  <c r="Z27" i="49"/>
  <c r="M853" i="1" s="1"/>
  <c r="AA27" i="49"/>
  <c r="N853" i="1" s="1"/>
  <c r="C28" i="49"/>
  <c r="E689" i="1" s="1"/>
  <c r="E139" i="1" s="1"/>
  <c r="D28" i="49"/>
  <c r="F689" i="1" s="1"/>
  <c r="F139" i="1" s="1"/>
  <c r="E28" i="49"/>
  <c r="F28" i="49"/>
  <c r="H689" i="1" s="1"/>
  <c r="H139" i="1" s="1"/>
  <c r="J28" i="49"/>
  <c r="E854" i="1" s="1"/>
  <c r="K28" i="49"/>
  <c r="F854" i="1" s="1"/>
  <c r="L28" i="49"/>
  <c r="M28" i="49"/>
  <c r="N28" i="49"/>
  <c r="O28" i="49"/>
  <c r="P28" i="49"/>
  <c r="Q28" i="49"/>
  <c r="R28" i="49"/>
  <c r="S28" i="49"/>
  <c r="H854" i="1" s="1"/>
  <c r="U28" i="49"/>
  <c r="V28" i="49"/>
  <c r="W28" i="49"/>
  <c r="J854" i="1" s="1"/>
  <c r="X28" i="49"/>
  <c r="Y28" i="49"/>
  <c r="L854" i="1" s="1"/>
  <c r="Z28" i="49"/>
  <c r="AA28" i="49"/>
  <c r="N854" i="1" s="1"/>
  <c r="C31" i="49"/>
  <c r="D31" i="49"/>
  <c r="F692" i="1" s="1"/>
  <c r="F142" i="1" s="1"/>
  <c r="E31" i="49"/>
  <c r="G692" i="1" s="1"/>
  <c r="G142" i="1" s="1"/>
  <c r="F31" i="49"/>
  <c r="H692" i="1" s="1"/>
  <c r="H142" i="1" s="1"/>
  <c r="J31" i="49"/>
  <c r="E857" i="1" s="1"/>
  <c r="K31" i="49"/>
  <c r="F857" i="1" s="1"/>
  <c r="L31" i="49"/>
  <c r="M31" i="49"/>
  <c r="N31" i="49"/>
  <c r="O31" i="49"/>
  <c r="P31" i="49"/>
  <c r="Q31" i="49"/>
  <c r="R31" i="49"/>
  <c r="S31" i="49"/>
  <c r="H857" i="1" s="1"/>
  <c r="U31" i="49"/>
  <c r="V31" i="49"/>
  <c r="W31" i="49"/>
  <c r="J857" i="1" s="1"/>
  <c r="X31" i="49"/>
  <c r="Y31" i="49"/>
  <c r="L857" i="1" s="1"/>
  <c r="Z31" i="49"/>
  <c r="AA31" i="49"/>
  <c r="C32" i="49"/>
  <c r="E693" i="1" s="1"/>
  <c r="E143" i="1" s="1"/>
  <c r="D32" i="49"/>
  <c r="F693" i="1" s="1"/>
  <c r="F143" i="1" s="1"/>
  <c r="E32" i="49"/>
  <c r="G693" i="1" s="1"/>
  <c r="G143" i="1" s="1"/>
  <c r="F32" i="49"/>
  <c r="J32" i="49"/>
  <c r="E858" i="1" s="1"/>
  <c r="K32" i="49"/>
  <c r="F858" i="1" s="1"/>
  <c r="L32" i="49"/>
  <c r="M32" i="49"/>
  <c r="N32" i="49"/>
  <c r="O32" i="49"/>
  <c r="P32" i="49"/>
  <c r="Q32" i="49"/>
  <c r="R32" i="49"/>
  <c r="S32" i="49"/>
  <c r="H858" i="1" s="1"/>
  <c r="U32" i="49"/>
  <c r="V32" i="49"/>
  <c r="W32" i="49"/>
  <c r="J858" i="1" s="1"/>
  <c r="X32" i="49"/>
  <c r="K858" i="1" s="1"/>
  <c r="Y32" i="49"/>
  <c r="L858" i="1" s="1"/>
  <c r="Z32" i="49"/>
  <c r="M858" i="1" s="1"/>
  <c r="AA32" i="49"/>
  <c r="N858" i="1" s="1"/>
  <c r="C33" i="49"/>
  <c r="D33" i="49"/>
  <c r="E33" i="49"/>
  <c r="G694" i="1" s="1"/>
  <c r="G144" i="1" s="1"/>
  <c r="F33" i="49"/>
  <c r="H694" i="1" s="1"/>
  <c r="H144" i="1" s="1"/>
  <c r="J33" i="49"/>
  <c r="E859" i="1" s="1"/>
  <c r="K33" i="49"/>
  <c r="F859" i="1" s="1"/>
  <c r="L33" i="49"/>
  <c r="M33" i="49"/>
  <c r="N33" i="49"/>
  <c r="O33" i="49"/>
  <c r="P33" i="49"/>
  <c r="Q33" i="49"/>
  <c r="R33" i="49"/>
  <c r="S33" i="49"/>
  <c r="H859" i="1" s="1"/>
  <c r="U33" i="49"/>
  <c r="V33" i="49"/>
  <c r="W33" i="49"/>
  <c r="J859" i="1" s="1"/>
  <c r="X33" i="49"/>
  <c r="K859" i="1" s="1"/>
  <c r="Y33" i="49"/>
  <c r="L859" i="1" s="1"/>
  <c r="Z33" i="49"/>
  <c r="M859" i="1" s="1"/>
  <c r="AA33" i="49"/>
  <c r="N859" i="1" s="1"/>
  <c r="C34" i="49"/>
  <c r="D34" i="49"/>
  <c r="F695" i="1" s="1"/>
  <c r="F145" i="1" s="1"/>
  <c r="E34" i="49"/>
  <c r="G695" i="1" s="1"/>
  <c r="G145" i="1" s="1"/>
  <c r="F34" i="49"/>
  <c r="H695" i="1" s="1"/>
  <c r="H145" i="1" s="1"/>
  <c r="J34" i="49"/>
  <c r="E860" i="1" s="1"/>
  <c r="K34" i="49"/>
  <c r="F860" i="1" s="1"/>
  <c r="L34" i="49"/>
  <c r="M34" i="49"/>
  <c r="N34" i="49"/>
  <c r="O34" i="49"/>
  <c r="P34" i="49"/>
  <c r="Q34" i="49"/>
  <c r="R34" i="49"/>
  <c r="S34" i="49"/>
  <c r="H860" i="1" s="1"/>
  <c r="U34" i="49"/>
  <c r="V34" i="49"/>
  <c r="W34" i="49"/>
  <c r="J860" i="1" s="1"/>
  <c r="X34" i="49"/>
  <c r="K860" i="1" s="1"/>
  <c r="Y34" i="49"/>
  <c r="L860" i="1" s="1"/>
  <c r="Z34" i="49"/>
  <c r="M860" i="1" s="1"/>
  <c r="AA34" i="49"/>
  <c r="N860" i="1" s="1"/>
  <c r="C35" i="49"/>
  <c r="E696" i="1" s="1"/>
  <c r="E146" i="1" s="1"/>
  <c r="D35" i="49"/>
  <c r="E35" i="49"/>
  <c r="G696" i="1" s="1"/>
  <c r="G146" i="1" s="1"/>
  <c r="F35" i="49"/>
  <c r="H696" i="1" s="1"/>
  <c r="H146" i="1" s="1"/>
  <c r="J35" i="49"/>
  <c r="E861" i="1" s="1"/>
  <c r="K35" i="49"/>
  <c r="F861" i="1" s="1"/>
  <c r="L35" i="49"/>
  <c r="M35" i="49"/>
  <c r="N35" i="49"/>
  <c r="O35" i="49"/>
  <c r="P35" i="49"/>
  <c r="Q35" i="49"/>
  <c r="R35" i="49"/>
  <c r="S35" i="49"/>
  <c r="H861" i="1" s="1"/>
  <c r="U35" i="49"/>
  <c r="V35" i="49"/>
  <c r="W35" i="49"/>
  <c r="J861" i="1" s="1"/>
  <c r="X35" i="49"/>
  <c r="K861" i="1" s="1"/>
  <c r="Y35" i="49"/>
  <c r="L861" i="1" s="1"/>
  <c r="Z35" i="49"/>
  <c r="M861" i="1" s="1"/>
  <c r="AA35" i="49"/>
  <c r="N861" i="1" s="1"/>
  <c r="C36" i="49"/>
  <c r="E697" i="1" s="1"/>
  <c r="E147" i="1" s="1"/>
  <c r="D36" i="49"/>
  <c r="F697" i="1" s="1"/>
  <c r="F147" i="1" s="1"/>
  <c r="E36" i="49"/>
  <c r="G697" i="1" s="1"/>
  <c r="G147" i="1" s="1"/>
  <c r="F36" i="49"/>
  <c r="J36" i="49"/>
  <c r="E862" i="1" s="1"/>
  <c r="K36" i="49"/>
  <c r="F862" i="1" s="1"/>
  <c r="L36" i="49"/>
  <c r="M36" i="49"/>
  <c r="N36" i="49"/>
  <c r="O36" i="49"/>
  <c r="P36" i="49"/>
  <c r="Q36" i="49"/>
  <c r="R36" i="49"/>
  <c r="S36" i="49"/>
  <c r="H862" i="1" s="1"/>
  <c r="U36" i="49"/>
  <c r="V36" i="49"/>
  <c r="W36" i="49"/>
  <c r="J862" i="1" s="1"/>
  <c r="X36" i="49"/>
  <c r="K862" i="1" s="1"/>
  <c r="Y36" i="49"/>
  <c r="L862" i="1" s="1"/>
  <c r="Z36" i="49"/>
  <c r="M862" i="1" s="1"/>
  <c r="AA36" i="49"/>
  <c r="N862" i="1" s="1"/>
  <c r="G39" i="49"/>
  <c r="J39" i="49"/>
  <c r="K39" i="49"/>
  <c r="L39" i="49"/>
  <c r="M39" i="49"/>
  <c r="N39" i="49"/>
  <c r="O39" i="49"/>
  <c r="P39" i="49"/>
  <c r="Q39" i="49"/>
  <c r="R39" i="49"/>
  <c r="S39" i="49"/>
  <c r="U39" i="49"/>
  <c r="V39" i="49"/>
  <c r="W39" i="49"/>
  <c r="J865" i="1" s="1"/>
  <c r="X39" i="49"/>
  <c r="K865" i="1" s="1"/>
  <c r="Y39" i="49"/>
  <c r="L865" i="1" s="1"/>
  <c r="Z39" i="49"/>
  <c r="M865" i="1" s="1"/>
  <c r="AA39" i="49"/>
  <c r="N865" i="1" s="1"/>
  <c r="G40" i="49"/>
  <c r="J40" i="49"/>
  <c r="E866" i="1" s="1"/>
  <c r="K40" i="49"/>
  <c r="F866" i="1" s="1"/>
  <c r="L40" i="49"/>
  <c r="M40" i="49"/>
  <c r="N40" i="49"/>
  <c r="O40" i="49"/>
  <c r="P40" i="49"/>
  <c r="Q40" i="49"/>
  <c r="R40" i="49"/>
  <c r="S40" i="49"/>
  <c r="H866" i="1" s="1"/>
  <c r="U40" i="49"/>
  <c r="V40" i="49"/>
  <c r="W40" i="49"/>
  <c r="J866" i="1" s="1"/>
  <c r="X40" i="49"/>
  <c r="K866" i="1" s="1"/>
  <c r="Y40" i="49"/>
  <c r="L866" i="1" s="1"/>
  <c r="Z40" i="49"/>
  <c r="M866" i="1" s="1"/>
  <c r="AA40" i="49"/>
  <c r="N866" i="1" s="1"/>
  <c r="G41" i="49"/>
  <c r="H41" i="49" s="1"/>
  <c r="J702" i="1" s="1"/>
  <c r="J152" i="1" s="1"/>
  <c r="J41" i="49"/>
  <c r="E867" i="1" s="1"/>
  <c r="K41" i="49"/>
  <c r="F867" i="1" s="1"/>
  <c r="L41" i="49"/>
  <c r="M41" i="49"/>
  <c r="N41" i="49"/>
  <c r="O41" i="49"/>
  <c r="P41" i="49"/>
  <c r="Q41" i="49"/>
  <c r="R41" i="49"/>
  <c r="S41" i="49"/>
  <c r="H867" i="1" s="1"/>
  <c r="U41" i="49"/>
  <c r="V41" i="49"/>
  <c r="W41" i="49"/>
  <c r="J867" i="1" s="1"/>
  <c r="X41" i="49"/>
  <c r="K867" i="1" s="1"/>
  <c r="Y41" i="49"/>
  <c r="L867" i="1" s="1"/>
  <c r="Z41" i="49"/>
  <c r="M867" i="1" s="1"/>
  <c r="AA41" i="49"/>
  <c r="G42" i="49"/>
  <c r="H42" i="49" s="1"/>
  <c r="J42" i="49"/>
  <c r="E868" i="1" s="1"/>
  <c r="K42" i="49"/>
  <c r="F868" i="1" s="1"/>
  <c r="L42" i="49"/>
  <c r="M42" i="49"/>
  <c r="N42" i="49"/>
  <c r="O42" i="49"/>
  <c r="P42" i="49"/>
  <c r="Q42" i="49"/>
  <c r="R42" i="49"/>
  <c r="S42" i="49"/>
  <c r="H868" i="1" s="1"/>
  <c r="U42" i="49"/>
  <c r="V42" i="49"/>
  <c r="W42" i="49"/>
  <c r="J868" i="1" s="1"/>
  <c r="X42" i="49"/>
  <c r="K868" i="1" s="1"/>
  <c r="Y42" i="49"/>
  <c r="Z42" i="49"/>
  <c r="M868" i="1" s="1"/>
  <c r="AA42" i="49"/>
  <c r="N868" i="1" s="1"/>
  <c r="G43" i="49"/>
  <c r="J43" i="49"/>
  <c r="E869" i="1" s="1"/>
  <c r="K43" i="49"/>
  <c r="F869" i="1" s="1"/>
  <c r="L43" i="49"/>
  <c r="M43" i="49"/>
  <c r="N43" i="49"/>
  <c r="O43" i="49"/>
  <c r="P43" i="49"/>
  <c r="Q43" i="49"/>
  <c r="R43" i="49"/>
  <c r="S43" i="49"/>
  <c r="H869" i="1" s="1"/>
  <c r="U43" i="49"/>
  <c r="V43" i="49"/>
  <c r="W43" i="49"/>
  <c r="J869" i="1" s="1"/>
  <c r="X43" i="49"/>
  <c r="K869" i="1" s="1"/>
  <c r="Y43" i="49"/>
  <c r="L869" i="1" s="1"/>
  <c r="Z43" i="49"/>
  <c r="M869" i="1" s="1"/>
  <c r="AA43" i="49"/>
  <c r="N869" i="1" s="1"/>
  <c r="G44" i="49"/>
  <c r="H44" i="49" s="1"/>
  <c r="J705" i="1" s="1"/>
  <c r="J155" i="1" s="1"/>
  <c r="J44" i="49"/>
  <c r="E870" i="1" s="1"/>
  <c r="K44" i="49"/>
  <c r="F870" i="1" s="1"/>
  <c r="L44" i="49"/>
  <c r="M44" i="49"/>
  <c r="N44" i="49"/>
  <c r="O44" i="49"/>
  <c r="P44" i="49"/>
  <c r="Q44" i="49"/>
  <c r="R44" i="49"/>
  <c r="S44" i="49"/>
  <c r="H870" i="1" s="1"/>
  <c r="U44" i="49"/>
  <c r="V44" i="49"/>
  <c r="W44" i="49"/>
  <c r="J870" i="1" s="1"/>
  <c r="X44" i="49"/>
  <c r="K870" i="1" s="1"/>
  <c r="Y44" i="49"/>
  <c r="L870" i="1" s="1"/>
  <c r="Z44" i="49"/>
  <c r="M870" i="1" s="1"/>
  <c r="AA44" i="49"/>
  <c r="N870" i="1" s="1"/>
  <c r="C47" i="49"/>
  <c r="E708" i="1" s="1"/>
  <c r="E158" i="1" s="1"/>
  <c r="D47" i="49"/>
  <c r="E47" i="49"/>
  <c r="F47" i="49"/>
  <c r="H708" i="1" s="1"/>
  <c r="H158" i="1" s="1"/>
  <c r="J47" i="49"/>
  <c r="E873" i="1" s="1"/>
  <c r="K47" i="49"/>
  <c r="F873" i="1" s="1"/>
  <c r="L47" i="49"/>
  <c r="M47" i="49"/>
  <c r="N47" i="49"/>
  <c r="O47" i="49"/>
  <c r="P47" i="49"/>
  <c r="Q47" i="49"/>
  <c r="R47" i="49"/>
  <c r="S47" i="49"/>
  <c r="H873" i="1" s="1"/>
  <c r="U47" i="49"/>
  <c r="V47" i="49"/>
  <c r="W47" i="49"/>
  <c r="J873" i="1" s="1"/>
  <c r="X47" i="49"/>
  <c r="K873" i="1" s="1"/>
  <c r="Y47" i="49"/>
  <c r="Z47" i="49"/>
  <c r="AA47" i="49"/>
  <c r="C48" i="49"/>
  <c r="E709" i="1" s="1"/>
  <c r="E159" i="1" s="1"/>
  <c r="D48" i="49"/>
  <c r="F709" i="1" s="1"/>
  <c r="F159" i="1" s="1"/>
  <c r="E48" i="49"/>
  <c r="G709" i="1" s="1"/>
  <c r="G159" i="1" s="1"/>
  <c r="F48" i="49"/>
  <c r="H709" i="1" s="1"/>
  <c r="H159" i="1" s="1"/>
  <c r="J48" i="49"/>
  <c r="E874" i="1" s="1"/>
  <c r="K48" i="49"/>
  <c r="F874" i="1" s="1"/>
  <c r="L48" i="49"/>
  <c r="M48" i="49"/>
  <c r="N48" i="49"/>
  <c r="O48" i="49"/>
  <c r="P48" i="49"/>
  <c r="Q48" i="49"/>
  <c r="R48" i="49"/>
  <c r="S48" i="49"/>
  <c r="H874" i="1" s="1"/>
  <c r="U48" i="49"/>
  <c r="V48" i="49"/>
  <c r="W48" i="49"/>
  <c r="J874" i="1" s="1"/>
  <c r="X48" i="49"/>
  <c r="K874" i="1" s="1"/>
  <c r="Y48" i="49"/>
  <c r="L874" i="1" s="1"/>
  <c r="Z48" i="49"/>
  <c r="M874" i="1" s="1"/>
  <c r="AA48" i="49"/>
  <c r="N874" i="1" s="1"/>
  <c r="C49" i="49"/>
  <c r="D49" i="49"/>
  <c r="F710" i="1" s="1"/>
  <c r="F160" i="1" s="1"/>
  <c r="E49" i="49"/>
  <c r="G710" i="1" s="1"/>
  <c r="G160" i="1" s="1"/>
  <c r="F49" i="49"/>
  <c r="H710" i="1" s="1"/>
  <c r="H160" i="1" s="1"/>
  <c r="J49" i="49"/>
  <c r="E875" i="1" s="1"/>
  <c r="K49" i="49"/>
  <c r="F875" i="1" s="1"/>
  <c r="L49" i="49"/>
  <c r="M49" i="49"/>
  <c r="N49" i="49"/>
  <c r="O49" i="49"/>
  <c r="P49" i="49"/>
  <c r="Q49" i="49"/>
  <c r="R49" i="49"/>
  <c r="S49" i="49"/>
  <c r="U49" i="49"/>
  <c r="V49" i="49"/>
  <c r="W49" i="49"/>
  <c r="X49" i="49"/>
  <c r="K875" i="1" s="1"/>
  <c r="Y49" i="49"/>
  <c r="L875" i="1" s="1"/>
  <c r="Z49" i="49"/>
  <c r="M875" i="1" s="1"/>
  <c r="AA49" i="49"/>
  <c r="N875" i="1" s="1"/>
  <c r="C52" i="49"/>
  <c r="E713" i="1" s="1"/>
  <c r="E163" i="1" s="1"/>
  <c r="D52" i="49"/>
  <c r="F713" i="1" s="1"/>
  <c r="F163" i="1" s="1"/>
  <c r="E52" i="49"/>
  <c r="G713" i="1" s="1"/>
  <c r="G163" i="1" s="1"/>
  <c r="F52" i="49"/>
  <c r="H713" i="1" s="1"/>
  <c r="H163" i="1" s="1"/>
  <c r="J52" i="49"/>
  <c r="E878" i="1" s="1"/>
  <c r="K52" i="49"/>
  <c r="F878" i="1" s="1"/>
  <c r="L52" i="49"/>
  <c r="M52" i="49"/>
  <c r="N52" i="49"/>
  <c r="O52" i="49"/>
  <c r="P52" i="49"/>
  <c r="Q52" i="49"/>
  <c r="R52" i="49"/>
  <c r="S52" i="49"/>
  <c r="H878" i="1" s="1"/>
  <c r="E194" i="36" s="1"/>
  <c r="U52" i="49"/>
  <c r="V52" i="49"/>
  <c r="W52" i="49"/>
  <c r="J878" i="1" s="1"/>
  <c r="J562" i="1" s="1"/>
  <c r="E366" i="36" s="1"/>
  <c r="X52" i="49"/>
  <c r="K878" i="1" s="1"/>
  <c r="I1254" i="1" s="1"/>
  <c r="Y52" i="49"/>
  <c r="L878" i="1" s="1"/>
  <c r="L562" i="1" s="1"/>
  <c r="E538" i="36" s="1"/>
  <c r="Z52" i="49"/>
  <c r="M878" i="1" s="1"/>
  <c r="K1254" i="1" s="1"/>
  <c r="AA52" i="49"/>
  <c r="N878" i="1" s="1"/>
  <c r="C54" i="49"/>
  <c r="E715" i="1" s="1"/>
  <c r="E165" i="1" s="1"/>
  <c r="D54" i="49"/>
  <c r="F715" i="1" s="1"/>
  <c r="F165" i="1" s="1"/>
  <c r="E54" i="49"/>
  <c r="G715" i="1" s="1"/>
  <c r="G165" i="1" s="1"/>
  <c r="F54" i="49"/>
  <c r="J54" i="49"/>
  <c r="E880" i="1" s="1"/>
  <c r="K54" i="49"/>
  <c r="F880" i="1" s="1"/>
  <c r="L54" i="49"/>
  <c r="M54" i="49"/>
  <c r="N54" i="49"/>
  <c r="O54" i="49"/>
  <c r="P54" i="49"/>
  <c r="Q54" i="49"/>
  <c r="R54" i="49"/>
  <c r="S54" i="49"/>
  <c r="H880" i="1" s="1"/>
  <c r="U54" i="49"/>
  <c r="V54" i="49"/>
  <c r="W54" i="49"/>
  <c r="J880" i="1" s="1"/>
  <c r="X54" i="49"/>
  <c r="K880" i="1" s="1"/>
  <c r="Y54" i="49"/>
  <c r="L880" i="1" s="1"/>
  <c r="Z54" i="49"/>
  <c r="M880" i="1" s="1"/>
  <c r="AA54" i="49"/>
  <c r="N880" i="1" s="1"/>
  <c r="C55" i="49"/>
  <c r="E716" i="1" s="1"/>
  <c r="E166" i="1" s="1"/>
  <c r="D55" i="49"/>
  <c r="E55" i="49"/>
  <c r="G716" i="1" s="1"/>
  <c r="G166" i="1" s="1"/>
  <c r="F55" i="49"/>
  <c r="H716" i="1" s="1"/>
  <c r="H166" i="1" s="1"/>
  <c r="J55" i="49"/>
  <c r="K55" i="49"/>
  <c r="F881" i="1" s="1"/>
  <c r="L55" i="49"/>
  <c r="M55" i="49"/>
  <c r="N55" i="49"/>
  <c r="O55" i="49"/>
  <c r="P55" i="49"/>
  <c r="Q55" i="49"/>
  <c r="R55" i="49"/>
  <c r="S55" i="49"/>
  <c r="H881" i="1" s="1"/>
  <c r="U55" i="49"/>
  <c r="V55" i="49"/>
  <c r="W55" i="49"/>
  <c r="J881" i="1" s="1"/>
  <c r="X55" i="49"/>
  <c r="K881" i="1" s="1"/>
  <c r="Y55" i="49"/>
  <c r="L881" i="1" s="1"/>
  <c r="Z55" i="49"/>
  <c r="M881" i="1" s="1"/>
  <c r="AA55" i="49"/>
  <c r="N881" i="1" s="1"/>
  <c r="C56" i="49"/>
  <c r="D56" i="49"/>
  <c r="F717" i="1" s="1"/>
  <c r="F167" i="1" s="1"/>
  <c r="E56" i="49"/>
  <c r="G717" i="1" s="1"/>
  <c r="G167" i="1" s="1"/>
  <c r="F56" i="49"/>
  <c r="H717" i="1" s="1"/>
  <c r="H167" i="1" s="1"/>
  <c r="J56" i="49"/>
  <c r="E882" i="1" s="1"/>
  <c r="K56" i="49"/>
  <c r="F882" i="1" s="1"/>
  <c r="L56" i="49"/>
  <c r="M56" i="49"/>
  <c r="N56" i="49"/>
  <c r="O56" i="49"/>
  <c r="P56" i="49"/>
  <c r="Q56" i="49"/>
  <c r="R56" i="49"/>
  <c r="S56" i="49"/>
  <c r="H882" i="1" s="1"/>
  <c r="U56" i="49"/>
  <c r="V56" i="49"/>
  <c r="W56" i="49"/>
  <c r="J882" i="1" s="1"/>
  <c r="X56" i="49"/>
  <c r="Y56" i="49"/>
  <c r="L882" i="1" s="1"/>
  <c r="Z56" i="49"/>
  <c r="AA56" i="49"/>
  <c r="N882" i="1" s="1"/>
  <c r="C57" i="49"/>
  <c r="E718" i="1" s="1"/>
  <c r="E168" i="1" s="1"/>
  <c r="D57" i="49"/>
  <c r="F718" i="1" s="1"/>
  <c r="F168" i="1" s="1"/>
  <c r="E57" i="49"/>
  <c r="F57" i="49"/>
  <c r="H718" i="1" s="1"/>
  <c r="H168" i="1" s="1"/>
  <c r="J57" i="49"/>
  <c r="E883" i="1" s="1"/>
  <c r="K57" i="49"/>
  <c r="F883" i="1" s="1"/>
  <c r="L57" i="49"/>
  <c r="M57" i="49"/>
  <c r="N57" i="49"/>
  <c r="O57" i="49"/>
  <c r="P57" i="49"/>
  <c r="Q57" i="49"/>
  <c r="R57" i="49"/>
  <c r="S57" i="49"/>
  <c r="H883" i="1" s="1"/>
  <c r="U57" i="49"/>
  <c r="V57" i="49"/>
  <c r="W57" i="49"/>
  <c r="J883" i="1" s="1"/>
  <c r="X57" i="49"/>
  <c r="K883" i="1" s="1"/>
  <c r="Y57" i="49"/>
  <c r="L883" i="1" s="1"/>
  <c r="Z57" i="49"/>
  <c r="M883" i="1" s="1"/>
  <c r="AA57" i="49"/>
  <c r="N883" i="1" s="1"/>
  <c r="C58" i="49"/>
  <c r="E719" i="1" s="1"/>
  <c r="E169" i="1" s="1"/>
  <c r="D58" i="49"/>
  <c r="F719" i="1" s="1"/>
  <c r="F169" i="1" s="1"/>
  <c r="E58" i="49"/>
  <c r="G719" i="1" s="1"/>
  <c r="G169" i="1" s="1"/>
  <c r="F58" i="49"/>
  <c r="H719" i="1" s="1"/>
  <c r="H169" i="1" s="1"/>
  <c r="J58" i="49"/>
  <c r="E884" i="1" s="1"/>
  <c r="K58" i="49"/>
  <c r="L58" i="49"/>
  <c r="M58" i="49"/>
  <c r="N58" i="49"/>
  <c r="O58" i="49"/>
  <c r="P58" i="49"/>
  <c r="Q58" i="49"/>
  <c r="R58" i="49"/>
  <c r="S58" i="49"/>
  <c r="H884" i="1" s="1"/>
  <c r="U58" i="49"/>
  <c r="V58" i="49"/>
  <c r="W58" i="49"/>
  <c r="J884" i="1" s="1"/>
  <c r="X58" i="49"/>
  <c r="K884" i="1" s="1"/>
  <c r="Y58" i="49"/>
  <c r="L884" i="1" s="1"/>
  <c r="Z58" i="49"/>
  <c r="M884" i="1" s="1"/>
  <c r="AA58" i="49"/>
  <c r="C59" i="49"/>
  <c r="D59" i="49"/>
  <c r="F720" i="1" s="1"/>
  <c r="F170" i="1" s="1"/>
  <c r="E59" i="49"/>
  <c r="G720" i="1" s="1"/>
  <c r="G170" i="1" s="1"/>
  <c r="F59" i="49"/>
  <c r="H720" i="1" s="1"/>
  <c r="H170" i="1" s="1"/>
  <c r="J59" i="49"/>
  <c r="E885" i="1" s="1"/>
  <c r="K59" i="49"/>
  <c r="F885" i="1" s="1"/>
  <c r="L59" i="49"/>
  <c r="M59" i="49"/>
  <c r="N59" i="49"/>
  <c r="O59" i="49"/>
  <c r="P59" i="49"/>
  <c r="Q59" i="49"/>
  <c r="R59" i="49"/>
  <c r="S59" i="49"/>
  <c r="H885" i="1" s="1"/>
  <c r="U59" i="49"/>
  <c r="V59" i="49"/>
  <c r="W59" i="49"/>
  <c r="J885" i="1" s="1"/>
  <c r="X59" i="49"/>
  <c r="K885" i="1" s="1"/>
  <c r="Y59" i="49"/>
  <c r="Z59" i="49"/>
  <c r="M885" i="1" s="1"/>
  <c r="AA59" i="49"/>
  <c r="N885" i="1" s="1"/>
  <c r="C62" i="49"/>
  <c r="E723" i="1" s="1"/>
  <c r="E173" i="1" s="1"/>
  <c r="D62" i="49"/>
  <c r="F723" i="1" s="1"/>
  <c r="F173" i="1" s="1"/>
  <c r="E62" i="49"/>
  <c r="G723" i="1" s="1"/>
  <c r="G173" i="1" s="1"/>
  <c r="F62" i="49"/>
  <c r="J62" i="49"/>
  <c r="E888" i="1" s="1"/>
  <c r="K62" i="49"/>
  <c r="F888" i="1" s="1"/>
  <c r="L62" i="49"/>
  <c r="M62" i="49"/>
  <c r="N62" i="49"/>
  <c r="O62" i="49"/>
  <c r="P62" i="49"/>
  <c r="Q62" i="49"/>
  <c r="R62" i="49"/>
  <c r="S62" i="49"/>
  <c r="H888" i="1" s="1"/>
  <c r="U62" i="49"/>
  <c r="V62" i="49"/>
  <c r="W62" i="49"/>
  <c r="J888" i="1" s="1"/>
  <c r="X62" i="49"/>
  <c r="K888" i="1" s="1"/>
  <c r="Y62" i="49"/>
  <c r="L888" i="1" s="1"/>
  <c r="Z62" i="49"/>
  <c r="M888" i="1" s="1"/>
  <c r="AA62" i="49"/>
  <c r="N888" i="1" s="1"/>
  <c r="C63" i="49"/>
  <c r="E724" i="1" s="1"/>
  <c r="E174" i="1" s="1"/>
  <c r="D63" i="49"/>
  <c r="F724" i="1" s="1"/>
  <c r="F174" i="1" s="1"/>
  <c r="E63" i="49"/>
  <c r="G724" i="1" s="1"/>
  <c r="G174" i="1" s="1"/>
  <c r="F63" i="49"/>
  <c r="H724" i="1" s="1"/>
  <c r="H174" i="1" s="1"/>
  <c r="J63" i="49"/>
  <c r="E889" i="1" s="1"/>
  <c r="K63" i="49"/>
  <c r="L63" i="49"/>
  <c r="M63" i="49"/>
  <c r="N63" i="49"/>
  <c r="O63" i="49"/>
  <c r="P63" i="49"/>
  <c r="Q63" i="49"/>
  <c r="R63" i="49"/>
  <c r="S63" i="49"/>
  <c r="H889" i="1" s="1"/>
  <c r="U63" i="49"/>
  <c r="V63" i="49"/>
  <c r="W63" i="49"/>
  <c r="X63" i="49"/>
  <c r="K889" i="1" s="1"/>
  <c r="Y63" i="49"/>
  <c r="L889" i="1" s="1"/>
  <c r="Z63" i="49"/>
  <c r="M889" i="1" s="1"/>
  <c r="AA63" i="49"/>
  <c r="C64" i="49"/>
  <c r="D64" i="49"/>
  <c r="E64" i="49"/>
  <c r="G725" i="1" s="1"/>
  <c r="G175" i="1" s="1"/>
  <c r="F64" i="49"/>
  <c r="J64" i="49"/>
  <c r="E890" i="1" s="1"/>
  <c r="K64" i="49"/>
  <c r="F890" i="1" s="1"/>
  <c r="L64" i="49"/>
  <c r="M64" i="49"/>
  <c r="N64" i="49"/>
  <c r="O64" i="49"/>
  <c r="P64" i="49"/>
  <c r="Q64" i="49"/>
  <c r="R64" i="49"/>
  <c r="S64" i="49"/>
  <c r="U64" i="49"/>
  <c r="V64" i="49"/>
  <c r="W64" i="49"/>
  <c r="J890" i="1" s="1"/>
  <c r="X64" i="49"/>
  <c r="Y64" i="49"/>
  <c r="L890" i="1" s="1"/>
  <c r="Z64" i="49"/>
  <c r="AA64" i="49"/>
  <c r="N890" i="1" s="1"/>
  <c r="C67" i="49"/>
  <c r="E728" i="1" s="1"/>
  <c r="E178" i="1" s="1"/>
  <c r="D67" i="49"/>
  <c r="E67" i="49"/>
  <c r="G728" i="1" s="1"/>
  <c r="G178" i="1" s="1"/>
  <c r="F67" i="49"/>
  <c r="J67" i="49"/>
  <c r="K67" i="49"/>
  <c r="F893" i="1" s="1"/>
  <c r="L67" i="49"/>
  <c r="M67" i="49"/>
  <c r="N67" i="49"/>
  <c r="O67" i="49"/>
  <c r="P67" i="49"/>
  <c r="Q67" i="49"/>
  <c r="R67" i="49"/>
  <c r="S67" i="49"/>
  <c r="H893" i="1" s="1"/>
  <c r="U67" i="49"/>
  <c r="V67" i="49"/>
  <c r="W67" i="49"/>
  <c r="J893" i="1" s="1"/>
  <c r="X67" i="49"/>
  <c r="K893" i="1" s="1"/>
  <c r="Y67" i="49"/>
  <c r="L893" i="1" s="1"/>
  <c r="Z67" i="49"/>
  <c r="AA67" i="49"/>
  <c r="C68" i="49"/>
  <c r="E729" i="1" s="1"/>
  <c r="E179" i="1" s="1"/>
  <c r="D68" i="49"/>
  <c r="E68" i="49"/>
  <c r="G729" i="1" s="1"/>
  <c r="G179" i="1" s="1"/>
  <c r="F68" i="49"/>
  <c r="H729" i="1" s="1"/>
  <c r="H179" i="1" s="1"/>
  <c r="J68" i="49"/>
  <c r="E894" i="1" s="1"/>
  <c r="K68" i="49"/>
  <c r="L68" i="49"/>
  <c r="M68" i="49"/>
  <c r="N68" i="49"/>
  <c r="O68" i="49"/>
  <c r="P68" i="49"/>
  <c r="Q68" i="49"/>
  <c r="R68" i="49"/>
  <c r="S68" i="49"/>
  <c r="H894" i="1" s="1"/>
  <c r="U68" i="49"/>
  <c r="V68" i="49"/>
  <c r="W68" i="49"/>
  <c r="J894" i="1" s="1"/>
  <c r="X68" i="49"/>
  <c r="K894" i="1" s="1"/>
  <c r="Y68" i="49"/>
  <c r="L894" i="1" s="1"/>
  <c r="Z68" i="49"/>
  <c r="M894" i="1" s="1"/>
  <c r="AA68" i="49"/>
  <c r="N894" i="1" s="1"/>
  <c r="C71" i="49"/>
  <c r="E732" i="1" s="1"/>
  <c r="E182" i="1" s="1"/>
  <c r="D71" i="49"/>
  <c r="E71" i="49"/>
  <c r="G732" i="1" s="1"/>
  <c r="G182" i="1" s="1"/>
  <c r="F71" i="49"/>
  <c r="J71" i="49"/>
  <c r="E897" i="1" s="1"/>
  <c r="K71" i="49"/>
  <c r="L71" i="49"/>
  <c r="M71" i="49"/>
  <c r="N71" i="49"/>
  <c r="O71" i="49"/>
  <c r="P71" i="49"/>
  <c r="Q71" i="49"/>
  <c r="R71" i="49"/>
  <c r="S71" i="49"/>
  <c r="H897" i="1" s="1"/>
  <c r="U71" i="49"/>
  <c r="V71" i="49"/>
  <c r="W71" i="49"/>
  <c r="J897" i="1" s="1"/>
  <c r="X71" i="49"/>
  <c r="Y71" i="49"/>
  <c r="Z71" i="49"/>
  <c r="M897" i="1" s="1"/>
  <c r="AA71" i="49"/>
  <c r="N897" i="1" s="1"/>
  <c r="C72" i="49"/>
  <c r="E733" i="1" s="1"/>
  <c r="E183" i="1" s="1"/>
  <c r="D72" i="49"/>
  <c r="F733" i="1" s="1"/>
  <c r="F183" i="1" s="1"/>
  <c r="E72" i="49"/>
  <c r="G733" i="1" s="1"/>
  <c r="G183" i="1" s="1"/>
  <c r="F72" i="49"/>
  <c r="H733" i="1" s="1"/>
  <c r="H183" i="1" s="1"/>
  <c r="J72" i="49"/>
  <c r="E898" i="1" s="1"/>
  <c r="K72" i="49"/>
  <c r="F898" i="1" s="1"/>
  <c r="L72" i="49"/>
  <c r="M72" i="49"/>
  <c r="N72" i="49"/>
  <c r="O72" i="49"/>
  <c r="P72" i="49"/>
  <c r="Q72" i="49"/>
  <c r="R72" i="49"/>
  <c r="S72" i="49"/>
  <c r="U72" i="49"/>
  <c r="V72" i="49"/>
  <c r="W72" i="49"/>
  <c r="J898" i="1" s="1"/>
  <c r="X72" i="49"/>
  <c r="K898" i="1" s="1"/>
  <c r="Y72" i="49"/>
  <c r="L898" i="1" s="1"/>
  <c r="Z72" i="49"/>
  <c r="M898" i="1" s="1"/>
  <c r="AA72" i="49"/>
  <c r="G75" i="49"/>
  <c r="H75" i="49" s="1"/>
  <c r="J736" i="1" s="1"/>
  <c r="J186" i="1" s="1"/>
  <c r="I75" i="49"/>
  <c r="K736" i="1" s="1"/>
  <c r="J75" i="49"/>
  <c r="E901" i="1" s="1"/>
  <c r="K75" i="49"/>
  <c r="F901" i="1" s="1"/>
  <c r="L75" i="49"/>
  <c r="M75" i="49"/>
  <c r="N75" i="49"/>
  <c r="O75" i="49"/>
  <c r="P75" i="49"/>
  <c r="Q75" i="49"/>
  <c r="R75" i="49"/>
  <c r="S75" i="49"/>
  <c r="H901" i="1" s="1"/>
  <c r="U75" i="49"/>
  <c r="V75" i="49"/>
  <c r="W75" i="49"/>
  <c r="J901" i="1" s="1"/>
  <c r="X75" i="49"/>
  <c r="Y75" i="49"/>
  <c r="L901" i="1" s="1"/>
  <c r="Z75" i="49"/>
  <c r="M901" i="1" s="1"/>
  <c r="AA75" i="49"/>
  <c r="G76" i="49"/>
  <c r="H76" i="49" s="1"/>
  <c r="I76" i="49"/>
  <c r="K737" i="1" s="1"/>
  <c r="J76" i="49"/>
  <c r="E902" i="1" s="1"/>
  <c r="K76" i="49"/>
  <c r="F902" i="1" s="1"/>
  <c r="L76" i="49"/>
  <c r="M76" i="49"/>
  <c r="N76" i="49"/>
  <c r="O76" i="49"/>
  <c r="P76" i="49"/>
  <c r="Q76" i="49"/>
  <c r="R76" i="49"/>
  <c r="S76" i="49"/>
  <c r="H902" i="1" s="1"/>
  <c r="U76" i="49"/>
  <c r="V76" i="49"/>
  <c r="W76" i="49"/>
  <c r="X76" i="49"/>
  <c r="K902" i="1" s="1"/>
  <c r="Y76" i="49"/>
  <c r="L902" i="1" s="1"/>
  <c r="Z76" i="49"/>
  <c r="M902" i="1" s="1"/>
  <c r="AA76" i="49"/>
  <c r="N902" i="1" s="1"/>
  <c r="G77" i="49"/>
  <c r="I77" i="49"/>
  <c r="J77" i="49"/>
  <c r="K77" i="49"/>
  <c r="F903" i="1" s="1"/>
  <c r="L77" i="49"/>
  <c r="M77" i="49"/>
  <c r="N77" i="49"/>
  <c r="O77" i="49"/>
  <c r="P77" i="49"/>
  <c r="Q77" i="49"/>
  <c r="R77" i="49"/>
  <c r="S77" i="49"/>
  <c r="H903" i="1" s="1"/>
  <c r="U77" i="49"/>
  <c r="V77" i="49"/>
  <c r="W77" i="49"/>
  <c r="J903" i="1" s="1"/>
  <c r="X77" i="49"/>
  <c r="K903" i="1" s="1"/>
  <c r="Y77" i="49"/>
  <c r="L903" i="1" s="1"/>
  <c r="Z77" i="49"/>
  <c r="M903" i="1" s="1"/>
  <c r="AA77" i="49"/>
  <c r="N903" i="1" s="1"/>
  <c r="C80" i="49"/>
  <c r="E741" i="1" s="1"/>
  <c r="E191" i="1" s="1"/>
  <c r="D80" i="49"/>
  <c r="F741" i="1" s="1"/>
  <c r="F191" i="1" s="1"/>
  <c r="E80" i="49"/>
  <c r="G741" i="1" s="1"/>
  <c r="G191" i="1" s="1"/>
  <c r="F80" i="49"/>
  <c r="H741" i="1" s="1"/>
  <c r="H191" i="1" s="1"/>
  <c r="J80" i="49"/>
  <c r="K80" i="49"/>
  <c r="F906" i="1" s="1"/>
  <c r="L80" i="49"/>
  <c r="M80" i="49"/>
  <c r="N80" i="49"/>
  <c r="O80" i="49"/>
  <c r="P80" i="49"/>
  <c r="Q80" i="49"/>
  <c r="R80" i="49"/>
  <c r="S80" i="49"/>
  <c r="U80" i="49"/>
  <c r="V80" i="49"/>
  <c r="W80" i="49"/>
  <c r="J906" i="1" s="1"/>
  <c r="X80" i="49"/>
  <c r="K906" i="1" s="1"/>
  <c r="Y80" i="49"/>
  <c r="L906" i="1" s="1"/>
  <c r="Z80" i="49"/>
  <c r="M906" i="1" s="1"/>
  <c r="AA80" i="49"/>
  <c r="N906" i="1" s="1"/>
  <c r="C81" i="49"/>
  <c r="D81" i="49"/>
  <c r="F742" i="1" s="1"/>
  <c r="F192" i="1" s="1"/>
  <c r="E81" i="49"/>
  <c r="G742" i="1" s="1"/>
  <c r="G192" i="1" s="1"/>
  <c r="F81" i="49"/>
  <c r="H742" i="1" s="1"/>
  <c r="H192" i="1" s="1"/>
  <c r="J81" i="49"/>
  <c r="E907" i="1" s="1"/>
  <c r="K81" i="49"/>
  <c r="L81" i="49"/>
  <c r="M81" i="49"/>
  <c r="N81" i="49"/>
  <c r="O81" i="49"/>
  <c r="P81" i="49"/>
  <c r="Q81" i="49"/>
  <c r="R81" i="49"/>
  <c r="S81" i="49"/>
  <c r="H907" i="1" s="1"/>
  <c r="U81" i="49"/>
  <c r="V81" i="49"/>
  <c r="W81" i="49"/>
  <c r="X81" i="49"/>
  <c r="K907" i="1" s="1"/>
  <c r="Y81" i="49"/>
  <c r="L907" i="1" s="1"/>
  <c r="Z81" i="49"/>
  <c r="M907" i="1" s="1"/>
  <c r="AA81" i="49"/>
  <c r="N907" i="1" s="1"/>
  <c r="C82" i="49"/>
  <c r="E743" i="1" s="1"/>
  <c r="E193" i="1" s="1"/>
  <c r="D82" i="49"/>
  <c r="E82" i="49"/>
  <c r="F82" i="49"/>
  <c r="J82" i="49"/>
  <c r="E908" i="1" s="1"/>
  <c r="K82" i="49"/>
  <c r="F908" i="1" s="1"/>
  <c r="L82" i="49"/>
  <c r="M82" i="49"/>
  <c r="N82" i="49"/>
  <c r="O82" i="49"/>
  <c r="P82" i="49"/>
  <c r="Q82" i="49"/>
  <c r="R82" i="49"/>
  <c r="S82" i="49"/>
  <c r="H908" i="1" s="1"/>
  <c r="U82" i="49"/>
  <c r="V82" i="49"/>
  <c r="W82" i="49"/>
  <c r="J908" i="1" s="1"/>
  <c r="X82" i="49"/>
  <c r="Y82" i="49"/>
  <c r="Z82" i="49"/>
  <c r="M908" i="1" s="1"/>
  <c r="AA82" i="49"/>
  <c r="N908" i="1" s="1"/>
  <c r="G85" i="49"/>
  <c r="H85" i="49" s="1"/>
  <c r="J85" i="49"/>
  <c r="K85" i="49"/>
  <c r="F911" i="1" s="1"/>
  <c r="L85" i="49"/>
  <c r="M85" i="49"/>
  <c r="N85" i="49"/>
  <c r="O85" i="49"/>
  <c r="P85" i="49"/>
  <c r="Q85" i="49"/>
  <c r="R85" i="49"/>
  <c r="S85" i="49"/>
  <c r="H911" i="1" s="1"/>
  <c r="U85" i="49"/>
  <c r="V85" i="49"/>
  <c r="W85" i="49"/>
  <c r="X85" i="49"/>
  <c r="K911" i="1" s="1"/>
  <c r="Y85" i="49"/>
  <c r="L911" i="1" s="1"/>
  <c r="Z85" i="49"/>
  <c r="M911" i="1" s="1"/>
  <c r="AA85" i="49"/>
  <c r="N911" i="1" s="1"/>
  <c r="G86" i="49"/>
  <c r="H86" i="49" s="1"/>
  <c r="J747" i="1" s="1"/>
  <c r="J197" i="1" s="1"/>
  <c r="J86" i="49"/>
  <c r="E912" i="1" s="1"/>
  <c r="K86" i="49"/>
  <c r="F912" i="1" s="1"/>
  <c r="L86" i="49"/>
  <c r="M86" i="49"/>
  <c r="N86" i="49"/>
  <c r="O86" i="49"/>
  <c r="P86" i="49"/>
  <c r="Q86" i="49"/>
  <c r="R86" i="49"/>
  <c r="S86" i="49"/>
  <c r="H912" i="1" s="1"/>
  <c r="U86" i="49"/>
  <c r="V86" i="49"/>
  <c r="W86" i="49"/>
  <c r="J912" i="1" s="1"/>
  <c r="X86" i="49"/>
  <c r="K912" i="1" s="1"/>
  <c r="Y86" i="49"/>
  <c r="L912" i="1" s="1"/>
  <c r="Z86" i="49"/>
  <c r="M912" i="1" s="1"/>
  <c r="AA86" i="49"/>
  <c r="N912" i="1" s="1"/>
  <c r="G87" i="49"/>
  <c r="J87" i="49"/>
  <c r="E913" i="1" s="1"/>
  <c r="K87" i="49"/>
  <c r="F913" i="1" s="1"/>
  <c r="L87" i="49"/>
  <c r="M87" i="49"/>
  <c r="N87" i="49"/>
  <c r="O87" i="49"/>
  <c r="P87" i="49"/>
  <c r="Q87" i="49"/>
  <c r="R87" i="49"/>
  <c r="S87" i="49"/>
  <c r="H913" i="1" s="1"/>
  <c r="U87" i="49"/>
  <c r="V87" i="49"/>
  <c r="W87" i="49"/>
  <c r="J913" i="1" s="1"/>
  <c r="X87" i="49"/>
  <c r="Y87" i="49"/>
  <c r="L913" i="1" s="1"/>
  <c r="Z87" i="49"/>
  <c r="M913" i="1" s="1"/>
  <c r="AA87" i="49"/>
  <c r="N913" i="1" s="1"/>
  <c r="G88" i="49"/>
  <c r="I749" i="1" s="1"/>
  <c r="I199" i="1" s="1"/>
  <c r="J88" i="49"/>
  <c r="E914" i="1" s="1"/>
  <c r="K88" i="49"/>
  <c r="F914" i="1" s="1"/>
  <c r="L88" i="49"/>
  <c r="M88" i="49"/>
  <c r="N88" i="49"/>
  <c r="O88" i="49"/>
  <c r="P88" i="49"/>
  <c r="Q88" i="49"/>
  <c r="R88" i="49"/>
  <c r="S88" i="49"/>
  <c r="H914" i="1" s="1"/>
  <c r="U88" i="49"/>
  <c r="V88" i="49"/>
  <c r="W88" i="49"/>
  <c r="J914" i="1" s="1"/>
  <c r="X88" i="49"/>
  <c r="K914" i="1" s="1"/>
  <c r="Y88" i="49"/>
  <c r="Z88" i="49"/>
  <c r="M914" i="1" s="1"/>
  <c r="AA88" i="49"/>
  <c r="N914" i="1" s="1"/>
  <c r="G89" i="49"/>
  <c r="I750" i="1" s="1"/>
  <c r="I200" i="1" s="1"/>
  <c r="J89" i="49"/>
  <c r="E915" i="1" s="1"/>
  <c r="K89" i="49"/>
  <c r="F915" i="1" s="1"/>
  <c r="L89" i="49"/>
  <c r="M89" i="49"/>
  <c r="N89" i="49"/>
  <c r="O89" i="49"/>
  <c r="P89" i="49"/>
  <c r="Q89" i="49"/>
  <c r="R89" i="49"/>
  <c r="S89" i="49"/>
  <c r="H915" i="1" s="1"/>
  <c r="U89" i="49"/>
  <c r="V89" i="49"/>
  <c r="W89" i="49"/>
  <c r="J915" i="1" s="1"/>
  <c r="X89" i="49"/>
  <c r="K915" i="1" s="1"/>
  <c r="Y89" i="49"/>
  <c r="L915" i="1" s="1"/>
  <c r="Z89" i="49"/>
  <c r="M915" i="1" s="1"/>
  <c r="AA89" i="49"/>
  <c r="G90" i="49"/>
  <c r="H90" i="49" s="1"/>
  <c r="J90" i="49"/>
  <c r="E916" i="1" s="1"/>
  <c r="K90" i="49"/>
  <c r="F916" i="1" s="1"/>
  <c r="L90" i="49"/>
  <c r="M90" i="49"/>
  <c r="N90" i="49"/>
  <c r="O90" i="49"/>
  <c r="P90" i="49"/>
  <c r="Q90" i="49"/>
  <c r="R90" i="49"/>
  <c r="S90" i="49"/>
  <c r="H916" i="1" s="1"/>
  <c r="U90" i="49"/>
  <c r="V90" i="49"/>
  <c r="W90" i="49"/>
  <c r="J916" i="1" s="1"/>
  <c r="X90" i="49"/>
  <c r="K916" i="1" s="1"/>
  <c r="Y90" i="49"/>
  <c r="L916" i="1" s="1"/>
  <c r="Z90" i="49"/>
  <c r="M916" i="1" s="1"/>
  <c r="AA90" i="49"/>
  <c r="N916" i="1" s="1"/>
  <c r="C93" i="49"/>
  <c r="E754" i="1" s="1"/>
  <c r="E204" i="1" s="1"/>
  <c r="D93" i="49"/>
  <c r="F754" i="1" s="1"/>
  <c r="F204" i="1" s="1"/>
  <c r="E93" i="49"/>
  <c r="G754" i="1" s="1"/>
  <c r="G204" i="1" s="1"/>
  <c r="F93" i="49"/>
  <c r="J93" i="49"/>
  <c r="E919" i="1" s="1"/>
  <c r="K93" i="49"/>
  <c r="F919" i="1" s="1"/>
  <c r="L93" i="49"/>
  <c r="M93" i="49"/>
  <c r="N93" i="49"/>
  <c r="O93" i="49"/>
  <c r="P93" i="49"/>
  <c r="Q93" i="49"/>
  <c r="R93" i="49"/>
  <c r="S93" i="49"/>
  <c r="H919" i="1" s="1"/>
  <c r="U93" i="49"/>
  <c r="V93" i="49"/>
  <c r="W93" i="49"/>
  <c r="X93" i="49"/>
  <c r="Y93" i="49"/>
  <c r="L919" i="1" s="1"/>
  <c r="Z93" i="49"/>
  <c r="M919" i="1" s="1"/>
  <c r="AA93" i="49"/>
  <c r="N919" i="1" s="1"/>
  <c r="C94" i="49"/>
  <c r="E755" i="1" s="1"/>
  <c r="E205" i="1" s="1"/>
  <c r="D94" i="49"/>
  <c r="F755" i="1" s="1"/>
  <c r="F205" i="1" s="1"/>
  <c r="E94" i="49"/>
  <c r="G755" i="1" s="1"/>
  <c r="G205" i="1" s="1"/>
  <c r="F94" i="49"/>
  <c r="H755" i="1" s="1"/>
  <c r="H205" i="1" s="1"/>
  <c r="J94" i="49"/>
  <c r="E920" i="1" s="1"/>
  <c r="K94" i="49"/>
  <c r="F920" i="1" s="1"/>
  <c r="L94" i="49"/>
  <c r="M94" i="49"/>
  <c r="N94" i="49"/>
  <c r="O94" i="49"/>
  <c r="P94" i="49"/>
  <c r="Q94" i="49"/>
  <c r="R94" i="49"/>
  <c r="S94" i="49"/>
  <c r="H920" i="1" s="1"/>
  <c r="U94" i="49"/>
  <c r="V94" i="49"/>
  <c r="W94" i="49"/>
  <c r="J920" i="1" s="1"/>
  <c r="X94" i="49"/>
  <c r="K920" i="1" s="1"/>
  <c r="Y94" i="49"/>
  <c r="Z94" i="49"/>
  <c r="M920" i="1" s="1"/>
  <c r="AA94" i="49"/>
  <c r="N920" i="1" s="1"/>
  <c r="C95" i="49"/>
  <c r="E756" i="1" s="1"/>
  <c r="E206" i="1" s="1"/>
  <c r="D95" i="49"/>
  <c r="F756" i="1" s="1"/>
  <c r="F206" i="1" s="1"/>
  <c r="E95" i="49"/>
  <c r="G756" i="1" s="1"/>
  <c r="G206" i="1" s="1"/>
  <c r="F95" i="49"/>
  <c r="H756" i="1" s="1"/>
  <c r="H206" i="1" s="1"/>
  <c r="J95" i="49"/>
  <c r="K95" i="49"/>
  <c r="L95" i="49"/>
  <c r="M95" i="49"/>
  <c r="N95" i="49"/>
  <c r="O95" i="49"/>
  <c r="P95" i="49"/>
  <c r="Q95" i="49"/>
  <c r="R95" i="49"/>
  <c r="S95" i="49"/>
  <c r="U95" i="49"/>
  <c r="V95" i="49"/>
  <c r="W95" i="49"/>
  <c r="J921" i="1" s="1"/>
  <c r="X95" i="49"/>
  <c r="K921" i="1" s="1"/>
  <c r="Y95" i="49"/>
  <c r="L921" i="1" s="1"/>
  <c r="Z95" i="49"/>
  <c r="M921" i="1" s="1"/>
  <c r="AA95" i="49"/>
  <c r="N921" i="1" s="1"/>
  <c r="C96" i="49"/>
  <c r="E757" i="1" s="1"/>
  <c r="E207" i="1" s="1"/>
  <c r="D96" i="49"/>
  <c r="E96" i="49"/>
  <c r="G757" i="1" s="1"/>
  <c r="G207" i="1" s="1"/>
  <c r="F96" i="49"/>
  <c r="H757" i="1" s="1"/>
  <c r="H207" i="1" s="1"/>
  <c r="J96" i="49"/>
  <c r="E922" i="1" s="1"/>
  <c r="K96" i="49"/>
  <c r="F922" i="1" s="1"/>
  <c r="L96" i="49"/>
  <c r="M96" i="49"/>
  <c r="N96" i="49"/>
  <c r="O96" i="49"/>
  <c r="P96" i="49"/>
  <c r="Q96" i="49"/>
  <c r="R96" i="49"/>
  <c r="S96" i="49"/>
  <c r="H922" i="1" s="1"/>
  <c r="U96" i="49"/>
  <c r="V96" i="49"/>
  <c r="W96" i="49"/>
  <c r="J922" i="1" s="1"/>
  <c r="X96" i="49"/>
  <c r="K922" i="1" s="1"/>
  <c r="Y96" i="49"/>
  <c r="L922" i="1" s="1"/>
  <c r="Z96" i="49"/>
  <c r="M922" i="1" s="1"/>
  <c r="AA96" i="49"/>
  <c r="N922" i="1" s="1"/>
  <c r="C99" i="49"/>
  <c r="E760" i="1" s="1"/>
  <c r="E210" i="1" s="1"/>
  <c r="D99" i="49"/>
  <c r="F760" i="1" s="1"/>
  <c r="F210" i="1" s="1"/>
  <c r="E99" i="49"/>
  <c r="G760" i="1" s="1"/>
  <c r="G210" i="1" s="1"/>
  <c r="F99" i="49"/>
  <c r="H760" i="1" s="1"/>
  <c r="H210" i="1" s="1"/>
  <c r="J99" i="49"/>
  <c r="E925" i="1" s="1"/>
  <c r="E571" i="1" s="1"/>
  <c r="K99" i="49"/>
  <c r="F925" i="1" s="1"/>
  <c r="F571" i="1" s="1"/>
  <c r="L99" i="49"/>
  <c r="M99" i="49"/>
  <c r="N99" i="49"/>
  <c r="O99" i="49"/>
  <c r="P99" i="49"/>
  <c r="Q99" i="49"/>
  <c r="R99" i="49"/>
  <c r="S99" i="49"/>
  <c r="H925" i="1" s="1"/>
  <c r="H571" i="1" s="1"/>
  <c r="E203" i="36" s="1"/>
  <c r="U99" i="49"/>
  <c r="V99" i="49"/>
  <c r="W99" i="49"/>
  <c r="J925" i="1" s="1"/>
  <c r="J571" i="1" s="1"/>
  <c r="E375" i="36" s="1"/>
  <c r="X99" i="49"/>
  <c r="K925" i="1" s="1"/>
  <c r="Y99" i="49"/>
  <c r="L925" i="1" s="1"/>
  <c r="J1263" i="1" s="1"/>
  <c r="Z99" i="49"/>
  <c r="M925" i="1" s="1"/>
  <c r="M571" i="1" s="1"/>
  <c r="E633" i="36" s="1"/>
  <c r="AA99" i="49"/>
  <c r="N925" i="1" s="1"/>
  <c r="N1263" i="1" s="1"/>
  <c r="C101" i="49"/>
  <c r="D101" i="49"/>
  <c r="F762" i="1" s="1"/>
  <c r="F212" i="1" s="1"/>
  <c r="E101" i="49"/>
  <c r="G762" i="1" s="1"/>
  <c r="G212" i="1" s="1"/>
  <c r="F101" i="49"/>
  <c r="H762" i="1" s="1"/>
  <c r="H212" i="1" s="1"/>
  <c r="J101" i="49"/>
  <c r="E927" i="1" s="1"/>
  <c r="K101" i="49"/>
  <c r="F927" i="1" s="1"/>
  <c r="L101" i="49"/>
  <c r="M101" i="49"/>
  <c r="N101" i="49"/>
  <c r="O101" i="49"/>
  <c r="P101" i="49"/>
  <c r="Q101" i="49"/>
  <c r="R101" i="49"/>
  <c r="S101" i="49"/>
  <c r="U101" i="49"/>
  <c r="V101" i="49"/>
  <c r="W101" i="49"/>
  <c r="J927" i="1" s="1"/>
  <c r="X101" i="49"/>
  <c r="K927" i="1" s="1"/>
  <c r="Y101" i="49"/>
  <c r="L927" i="1" s="1"/>
  <c r="Z101" i="49"/>
  <c r="M927" i="1" s="1"/>
  <c r="AA101" i="49"/>
  <c r="C102" i="49"/>
  <c r="E763" i="1" s="1"/>
  <c r="E213" i="1" s="1"/>
  <c r="D102" i="49"/>
  <c r="F763" i="1" s="1"/>
  <c r="F213" i="1" s="1"/>
  <c r="E102" i="49"/>
  <c r="G763" i="1" s="1"/>
  <c r="G213" i="1" s="1"/>
  <c r="F102" i="49"/>
  <c r="H763" i="1" s="1"/>
  <c r="H213" i="1" s="1"/>
  <c r="J102" i="49"/>
  <c r="E928" i="1" s="1"/>
  <c r="K102" i="49"/>
  <c r="L102" i="49"/>
  <c r="M102" i="49"/>
  <c r="N102" i="49"/>
  <c r="O102" i="49"/>
  <c r="P102" i="49"/>
  <c r="Q102" i="49"/>
  <c r="R102" i="49"/>
  <c r="S102" i="49"/>
  <c r="H928" i="1" s="1"/>
  <c r="U102" i="49"/>
  <c r="V102" i="49"/>
  <c r="W102" i="49"/>
  <c r="J928" i="1" s="1"/>
  <c r="X102" i="49"/>
  <c r="K928" i="1" s="1"/>
  <c r="Y102" i="49"/>
  <c r="L928" i="1" s="1"/>
  <c r="Z102" i="49"/>
  <c r="M928" i="1" s="1"/>
  <c r="AA102" i="49"/>
  <c r="N928" i="1" s="1"/>
  <c r="C103" i="49"/>
  <c r="E764" i="1" s="1"/>
  <c r="E214" i="1" s="1"/>
  <c r="D103" i="49"/>
  <c r="E103" i="49"/>
  <c r="G764" i="1" s="1"/>
  <c r="G214" i="1" s="1"/>
  <c r="F103" i="49"/>
  <c r="H764" i="1" s="1"/>
  <c r="H214" i="1" s="1"/>
  <c r="J103" i="49"/>
  <c r="K103" i="49"/>
  <c r="F929" i="1" s="1"/>
  <c r="L103" i="49"/>
  <c r="M103" i="49"/>
  <c r="N103" i="49"/>
  <c r="O103" i="49"/>
  <c r="P103" i="49"/>
  <c r="Q103" i="49"/>
  <c r="R103" i="49"/>
  <c r="S103" i="49"/>
  <c r="H929" i="1" s="1"/>
  <c r="U103" i="49"/>
  <c r="V103" i="49"/>
  <c r="W103" i="49"/>
  <c r="X103" i="49"/>
  <c r="K929" i="1" s="1"/>
  <c r="Y103" i="49"/>
  <c r="L929" i="1" s="1"/>
  <c r="Z103" i="49"/>
  <c r="M929" i="1" s="1"/>
  <c r="AA103" i="49"/>
  <c r="N929" i="1" s="1"/>
  <c r="C104" i="49"/>
  <c r="E765" i="1" s="1"/>
  <c r="E215" i="1" s="1"/>
  <c r="D104" i="49"/>
  <c r="F765" i="1" s="1"/>
  <c r="F215" i="1" s="1"/>
  <c r="E104" i="49"/>
  <c r="G765" i="1" s="1"/>
  <c r="G215" i="1" s="1"/>
  <c r="F104" i="49"/>
  <c r="H765" i="1" s="1"/>
  <c r="H215" i="1" s="1"/>
  <c r="J104" i="49"/>
  <c r="E930" i="1" s="1"/>
  <c r="K104" i="49"/>
  <c r="F930" i="1" s="1"/>
  <c r="L104" i="49"/>
  <c r="M104" i="49"/>
  <c r="N104" i="49"/>
  <c r="O104" i="49"/>
  <c r="P104" i="49"/>
  <c r="Q104" i="49"/>
  <c r="R104" i="49"/>
  <c r="S104" i="49"/>
  <c r="H930" i="1" s="1"/>
  <c r="U104" i="49"/>
  <c r="V104" i="49"/>
  <c r="W104" i="49"/>
  <c r="J930" i="1" s="1"/>
  <c r="X104" i="49"/>
  <c r="Y104" i="49"/>
  <c r="Z104" i="49"/>
  <c r="AA104" i="49"/>
  <c r="N930" i="1" s="1"/>
  <c r="C107" i="49"/>
  <c r="E768" i="1" s="1"/>
  <c r="E218" i="1" s="1"/>
  <c r="D107" i="49"/>
  <c r="F768" i="1" s="1"/>
  <c r="F218" i="1" s="1"/>
  <c r="E107" i="49"/>
  <c r="G768" i="1" s="1"/>
  <c r="G218" i="1" s="1"/>
  <c r="F107" i="49"/>
  <c r="J107" i="49"/>
  <c r="K107" i="49"/>
  <c r="F933" i="1" s="1"/>
  <c r="L107" i="49"/>
  <c r="M107" i="49"/>
  <c r="N107" i="49"/>
  <c r="O107" i="49"/>
  <c r="P107" i="49"/>
  <c r="Q107" i="49"/>
  <c r="R107" i="49"/>
  <c r="S107" i="49"/>
  <c r="U107" i="49"/>
  <c r="V107" i="49"/>
  <c r="W107" i="49"/>
  <c r="J933" i="1" s="1"/>
  <c r="X107" i="49"/>
  <c r="K933" i="1" s="1"/>
  <c r="Y107" i="49"/>
  <c r="L933" i="1" s="1"/>
  <c r="Z107" i="49"/>
  <c r="M933" i="1" s="1"/>
  <c r="AA107" i="49"/>
  <c r="N933" i="1" s="1"/>
  <c r="C108" i="49"/>
  <c r="E769" i="1" s="1"/>
  <c r="E219" i="1" s="1"/>
  <c r="D108" i="49"/>
  <c r="F769" i="1" s="1"/>
  <c r="F219" i="1" s="1"/>
  <c r="E108" i="49"/>
  <c r="G769" i="1" s="1"/>
  <c r="G219" i="1" s="1"/>
  <c r="F108" i="49"/>
  <c r="J108" i="49"/>
  <c r="E934" i="1" s="1"/>
  <c r="K108" i="49"/>
  <c r="L108" i="49"/>
  <c r="M108" i="49"/>
  <c r="N108" i="49"/>
  <c r="O108" i="49"/>
  <c r="P108" i="49"/>
  <c r="Q108" i="49"/>
  <c r="R108" i="49"/>
  <c r="S108" i="49"/>
  <c r="H934" i="1" s="1"/>
  <c r="U108" i="49"/>
  <c r="V108" i="49"/>
  <c r="W108" i="49"/>
  <c r="J934" i="1" s="1"/>
  <c r="X108" i="49"/>
  <c r="K934" i="1" s="1"/>
  <c r="Y108" i="49"/>
  <c r="L934" i="1" s="1"/>
  <c r="Z108" i="49"/>
  <c r="M934" i="1" s="1"/>
  <c r="AA108" i="49"/>
  <c r="C109" i="49"/>
  <c r="D109" i="49"/>
  <c r="F770" i="1" s="1"/>
  <c r="F220" i="1" s="1"/>
  <c r="E109" i="49"/>
  <c r="G770" i="1" s="1"/>
  <c r="G220" i="1" s="1"/>
  <c r="F109" i="49"/>
  <c r="H770" i="1" s="1"/>
  <c r="H220" i="1" s="1"/>
  <c r="J109" i="49"/>
  <c r="E935" i="1" s="1"/>
  <c r="K109" i="49"/>
  <c r="F935" i="1" s="1"/>
  <c r="L109" i="49"/>
  <c r="M109" i="49"/>
  <c r="N109" i="49"/>
  <c r="O109" i="49"/>
  <c r="P109" i="49"/>
  <c r="Q109" i="49"/>
  <c r="R109" i="49"/>
  <c r="S109" i="49"/>
  <c r="H935" i="1" s="1"/>
  <c r="U109" i="49"/>
  <c r="V109" i="49"/>
  <c r="W109" i="49"/>
  <c r="X109" i="49"/>
  <c r="K935" i="1" s="1"/>
  <c r="Y109" i="49"/>
  <c r="L935" i="1" s="1"/>
  <c r="Z109" i="49"/>
  <c r="M935" i="1" s="1"/>
  <c r="AA109" i="49"/>
  <c r="N935" i="1" s="1"/>
  <c r="C112" i="49"/>
  <c r="E773" i="1" s="1"/>
  <c r="E223" i="1" s="1"/>
  <c r="D112" i="49"/>
  <c r="F773" i="1" s="1"/>
  <c r="F223" i="1" s="1"/>
  <c r="E112" i="49"/>
  <c r="G773" i="1" s="1"/>
  <c r="G223" i="1" s="1"/>
  <c r="F112" i="49"/>
  <c r="J112" i="49"/>
  <c r="E938" i="1" s="1"/>
  <c r="E574" i="1" s="1"/>
  <c r="K112" i="49"/>
  <c r="F938" i="1" s="1"/>
  <c r="F574" i="1" s="1"/>
  <c r="L112" i="49"/>
  <c r="M112" i="49"/>
  <c r="N112" i="49"/>
  <c r="O112" i="49"/>
  <c r="P112" i="49"/>
  <c r="Q112" i="49"/>
  <c r="R112" i="49"/>
  <c r="S112" i="49"/>
  <c r="H938" i="1" s="1"/>
  <c r="H574" i="1" s="1"/>
  <c r="E206" i="36" s="1"/>
  <c r="U112" i="49"/>
  <c r="V112" i="49"/>
  <c r="W112" i="49"/>
  <c r="J938" i="1" s="1"/>
  <c r="J574" i="1" s="1"/>
  <c r="E378" i="36" s="1"/>
  <c r="X112" i="49"/>
  <c r="K938" i="1" s="1"/>
  <c r="Y112" i="49"/>
  <c r="L938" i="1" s="1"/>
  <c r="Z112" i="49"/>
  <c r="M938" i="1" s="1"/>
  <c r="AA112" i="49"/>
  <c r="N938" i="1" s="1"/>
  <c r="P574" i="1" s="1"/>
  <c r="C114" i="49"/>
  <c r="E775" i="1" s="1"/>
  <c r="E225" i="1" s="1"/>
  <c r="D114" i="49"/>
  <c r="F775" i="1" s="1"/>
  <c r="F225" i="1" s="1"/>
  <c r="E114" i="49"/>
  <c r="G775" i="1" s="1"/>
  <c r="G225" i="1" s="1"/>
  <c r="F114" i="49"/>
  <c r="H775" i="1" s="1"/>
  <c r="H225" i="1" s="1"/>
  <c r="I114" i="49"/>
  <c r="J114" i="49"/>
  <c r="E940" i="1" s="1"/>
  <c r="K114" i="49"/>
  <c r="L114" i="49"/>
  <c r="M114" i="49"/>
  <c r="N114" i="49"/>
  <c r="O114" i="49"/>
  <c r="P114" i="49"/>
  <c r="Q114" i="49"/>
  <c r="R114" i="49"/>
  <c r="S114" i="49"/>
  <c r="H940" i="1" s="1"/>
  <c r="U114" i="49"/>
  <c r="V114" i="49"/>
  <c r="W114" i="49"/>
  <c r="J940" i="1" s="1"/>
  <c r="X114" i="49"/>
  <c r="K940" i="1" s="1"/>
  <c r="Y114" i="49"/>
  <c r="L940" i="1" s="1"/>
  <c r="Z114" i="49"/>
  <c r="M940" i="1" s="1"/>
  <c r="AA114" i="49"/>
  <c r="C115" i="49"/>
  <c r="D115" i="49"/>
  <c r="E115" i="49"/>
  <c r="G776" i="1" s="1"/>
  <c r="G226" i="1" s="1"/>
  <c r="F115" i="49"/>
  <c r="H776" i="1" s="1"/>
  <c r="H226" i="1" s="1"/>
  <c r="I115" i="49"/>
  <c r="K776" i="1" s="1"/>
  <c r="J115" i="49"/>
  <c r="E941" i="1" s="1"/>
  <c r="K115" i="49"/>
  <c r="F941" i="1" s="1"/>
  <c r="L115" i="49"/>
  <c r="M115" i="49"/>
  <c r="N115" i="49"/>
  <c r="O115" i="49"/>
  <c r="P115" i="49"/>
  <c r="Q115" i="49"/>
  <c r="R115" i="49"/>
  <c r="S115" i="49"/>
  <c r="H941" i="1" s="1"/>
  <c r="U115" i="49"/>
  <c r="V115" i="49"/>
  <c r="W115" i="49"/>
  <c r="J941" i="1" s="1"/>
  <c r="X115" i="49"/>
  <c r="K941" i="1" s="1"/>
  <c r="Y115" i="49"/>
  <c r="L941" i="1" s="1"/>
  <c r="Z115" i="49"/>
  <c r="AA115" i="49"/>
  <c r="N941" i="1" s="1"/>
  <c r="C116" i="49"/>
  <c r="D116" i="49"/>
  <c r="F777" i="1" s="1"/>
  <c r="F227" i="1" s="1"/>
  <c r="E116" i="49"/>
  <c r="G777" i="1" s="1"/>
  <c r="G227" i="1" s="1"/>
  <c r="F116" i="49"/>
  <c r="H777" i="1" s="1"/>
  <c r="H227" i="1" s="1"/>
  <c r="I116" i="49"/>
  <c r="K777" i="1" s="1"/>
  <c r="J116" i="49"/>
  <c r="E942" i="1" s="1"/>
  <c r="K116" i="49"/>
  <c r="F942" i="1" s="1"/>
  <c r="L116" i="49"/>
  <c r="M116" i="49"/>
  <c r="N116" i="49"/>
  <c r="O116" i="49"/>
  <c r="P116" i="49"/>
  <c r="Q116" i="49"/>
  <c r="R116" i="49"/>
  <c r="S116" i="49"/>
  <c r="U116" i="49"/>
  <c r="V116" i="49"/>
  <c r="W116" i="49"/>
  <c r="J942" i="1" s="1"/>
  <c r="X116" i="49"/>
  <c r="Y116" i="49"/>
  <c r="Z116" i="49"/>
  <c r="M942" i="1" s="1"/>
  <c r="AA116" i="49"/>
  <c r="N942" i="1" s="1"/>
  <c r="C119" i="49"/>
  <c r="E780" i="1" s="1"/>
  <c r="E230" i="1" s="1"/>
  <c r="D119" i="49"/>
  <c r="E119" i="49"/>
  <c r="G780" i="1" s="1"/>
  <c r="G230" i="1" s="1"/>
  <c r="F119" i="49"/>
  <c r="H780" i="1" s="1"/>
  <c r="H230" i="1" s="1"/>
  <c r="J119" i="49"/>
  <c r="E945" i="1" s="1"/>
  <c r="K119" i="49"/>
  <c r="F945" i="1" s="1"/>
  <c r="L119" i="49"/>
  <c r="M119" i="49"/>
  <c r="N119" i="49"/>
  <c r="O119" i="49"/>
  <c r="P119" i="49"/>
  <c r="Q119" i="49"/>
  <c r="R119" i="49"/>
  <c r="S119" i="49"/>
  <c r="H945" i="1" s="1"/>
  <c r="U119" i="49"/>
  <c r="V119" i="49"/>
  <c r="W119" i="49"/>
  <c r="J945" i="1" s="1"/>
  <c r="X119" i="49"/>
  <c r="Y119" i="49"/>
  <c r="Z119" i="49"/>
  <c r="AA119" i="49"/>
  <c r="N945" i="1" s="1"/>
  <c r="C120" i="49"/>
  <c r="D120" i="49"/>
  <c r="F781" i="1" s="1"/>
  <c r="F231" i="1" s="1"/>
  <c r="E120" i="49"/>
  <c r="F120" i="49"/>
  <c r="H781" i="1" s="1"/>
  <c r="H231" i="1" s="1"/>
  <c r="J120" i="49"/>
  <c r="E946" i="1" s="1"/>
  <c r="K120" i="49"/>
  <c r="L120" i="49"/>
  <c r="M120" i="49"/>
  <c r="N120" i="49"/>
  <c r="O120" i="49"/>
  <c r="P120" i="49"/>
  <c r="Q120" i="49"/>
  <c r="R120" i="49"/>
  <c r="S120" i="49"/>
  <c r="H946" i="1" s="1"/>
  <c r="U120" i="49"/>
  <c r="V120" i="49"/>
  <c r="W120" i="49"/>
  <c r="J946" i="1" s="1"/>
  <c r="X120" i="49"/>
  <c r="K946" i="1" s="1"/>
  <c r="Y120" i="49"/>
  <c r="Z120" i="49"/>
  <c r="M946" i="1" s="1"/>
  <c r="AA120" i="49"/>
  <c r="C121" i="49"/>
  <c r="E782" i="1" s="1"/>
  <c r="E232" i="1" s="1"/>
  <c r="D121" i="49"/>
  <c r="E121" i="49"/>
  <c r="G782" i="1" s="1"/>
  <c r="G232" i="1" s="1"/>
  <c r="F121" i="49"/>
  <c r="H782" i="1" s="1"/>
  <c r="H232" i="1" s="1"/>
  <c r="J121" i="49"/>
  <c r="E947" i="1" s="1"/>
  <c r="K121" i="49"/>
  <c r="F947" i="1" s="1"/>
  <c r="L121" i="49"/>
  <c r="M121" i="49"/>
  <c r="N121" i="49"/>
  <c r="O121" i="49"/>
  <c r="P121" i="49"/>
  <c r="Q121" i="49"/>
  <c r="R121" i="49"/>
  <c r="S121" i="49"/>
  <c r="H947" i="1" s="1"/>
  <c r="U121" i="49"/>
  <c r="V121" i="49"/>
  <c r="W121" i="49"/>
  <c r="X121" i="49"/>
  <c r="K947" i="1" s="1"/>
  <c r="Y121" i="49"/>
  <c r="L947" i="1" s="1"/>
  <c r="Z121" i="49"/>
  <c r="M947" i="1" s="1"/>
  <c r="AA121" i="49"/>
  <c r="N947" i="1" s="1"/>
  <c r="C124" i="49"/>
  <c r="E785" i="1" s="1"/>
  <c r="E235" i="1" s="1"/>
  <c r="D124" i="49"/>
  <c r="F785" i="1" s="1"/>
  <c r="F235" i="1" s="1"/>
  <c r="E124" i="49"/>
  <c r="G785" i="1" s="1"/>
  <c r="G235" i="1" s="1"/>
  <c r="F124" i="49"/>
  <c r="H785" i="1" s="1"/>
  <c r="H235" i="1" s="1"/>
  <c r="J124" i="49"/>
  <c r="E950" i="1" s="1"/>
  <c r="E577" i="1" s="1"/>
  <c r="K124" i="49"/>
  <c r="F950" i="1" s="1"/>
  <c r="F577" i="1" s="1"/>
  <c r="L124" i="49"/>
  <c r="M124" i="49"/>
  <c r="N124" i="49"/>
  <c r="O124" i="49"/>
  <c r="P124" i="49"/>
  <c r="Q124" i="49"/>
  <c r="R124" i="49"/>
  <c r="S124" i="49"/>
  <c r="H950" i="1" s="1"/>
  <c r="E209" i="36" s="1"/>
  <c r="U124" i="49"/>
  <c r="V124" i="49"/>
  <c r="W124" i="49"/>
  <c r="J950" i="1" s="1"/>
  <c r="J577" i="1" s="1"/>
  <c r="E381" i="36" s="1"/>
  <c r="X124" i="49"/>
  <c r="K950" i="1" s="1"/>
  <c r="Y124" i="49"/>
  <c r="L950" i="1" s="1"/>
  <c r="Z124" i="49"/>
  <c r="M950" i="1" s="1"/>
  <c r="AA124" i="49"/>
  <c r="N950" i="1" s="1"/>
  <c r="P577" i="1" s="1"/>
  <c r="C126" i="49"/>
  <c r="E787" i="1" s="1"/>
  <c r="E237" i="1" s="1"/>
  <c r="D126" i="49"/>
  <c r="E126" i="49"/>
  <c r="F126" i="49"/>
  <c r="J126" i="49"/>
  <c r="K126" i="49"/>
  <c r="F952" i="1" s="1"/>
  <c r="L126" i="49"/>
  <c r="M126" i="49"/>
  <c r="N126" i="49"/>
  <c r="O126" i="49"/>
  <c r="P126" i="49"/>
  <c r="Q126" i="49"/>
  <c r="R126" i="49"/>
  <c r="S126" i="49"/>
  <c r="H952" i="1" s="1"/>
  <c r="U126" i="49"/>
  <c r="V126" i="49"/>
  <c r="W126" i="49"/>
  <c r="J952" i="1" s="1"/>
  <c r="X126" i="49"/>
  <c r="K952" i="1" s="1"/>
  <c r="Y126" i="49"/>
  <c r="L952" i="1" s="1"/>
  <c r="Z126" i="49"/>
  <c r="M952" i="1" s="1"/>
  <c r="AA126" i="49"/>
  <c r="N952" i="1" s="1"/>
  <c r="C127" i="49"/>
  <c r="E788" i="1" s="1"/>
  <c r="E238" i="1" s="1"/>
  <c r="D127" i="49"/>
  <c r="F788" i="1" s="1"/>
  <c r="F238" i="1" s="1"/>
  <c r="E127" i="49"/>
  <c r="G788" i="1" s="1"/>
  <c r="G238" i="1" s="1"/>
  <c r="F127" i="49"/>
  <c r="H788" i="1" s="1"/>
  <c r="H238" i="1" s="1"/>
  <c r="J127" i="49"/>
  <c r="E953" i="1" s="1"/>
  <c r="K127" i="49"/>
  <c r="L127" i="49"/>
  <c r="M127" i="49"/>
  <c r="N127" i="49"/>
  <c r="O127" i="49"/>
  <c r="P127" i="49"/>
  <c r="Q127" i="49"/>
  <c r="R127" i="49"/>
  <c r="S127" i="49"/>
  <c r="H953" i="1" s="1"/>
  <c r="U127" i="49"/>
  <c r="V127" i="49"/>
  <c r="W127" i="49"/>
  <c r="J953" i="1" s="1"/>
  <c r="X127" i="49"/>
  <c r="K953" i="1" s="1"/>
  <c r="Y127" i="49"/>
  <c r="L953" i="1" s="1"/>
  <c r="Z127" i="49"/>
  <c r="M953" i="1" s="1"/>
  <c r="AA127" i="49"/>
  <c r="N953" i="1" s="1"/>
  <c r="C128" i="49"/>
  <c r="D128" i="49"/>
  <c r="F789" i="1" s="1"/>
  <c r="F239" i="1" s="1"/>
  <c r="E128" i="49"/>
  <c r="G789" i="1" s="1"/>
  <c r="G239" i="1" s="1"/>
  <c r="F128" i="49"/>
  <c r="H789" i="1" s="1"/>
  <c r="H239" i="1" s="1"/>
  <c r="J128" i="49"/>
  <c r="E954" i="1" s="1"/>
  <c r="K128" i="49"/>
  <c r="F954" i="1" s="1"/>
  <c r="L128" i="49"/>
  <c r="M128" i="49"/>
  <c r="N128" i="49"/>
  <c r="O128" i="49"/>
  <c r="P128" i="49"/>
  <c r="Q128" i="49"/>
  <c r="R128" i="49"/>
  <c r="S128" i="49"/>
  <c r="H954" i="1" s="1"/>
  <c r="U128" i="49"/>
  <c r="V128" i="49"/>
  <c r="W128" i="49"/>
  <c r="J954" i="1" s="1"/>
  <c r="X128" i="49"/>
  <c r="K954" i="1" s="1"/>
  <c r="Y128" i="49"/>
  <c r="L954" i="1" s="1"/>
  <c r="Z128" i="49"/>
  <c r="M954" i="1" s="1"/>
  <c r="AA128" i="49"/>
  <c r="N954" i="1" s="1"/>
  <c r="C129" i="49"/>
  <c r="E790" i="1" s="1"/>
  <c r="E240" i="1" s="1"/>
  <c r="D129" i="49"/>
  <c r="F790" i="1" s="1"/>
  <c r="F240" i="1" s="1"/>
  <c r="E129" i="49"/>
  <c r="F129" i="49"/>
  <c r="H790" i="1" s="1"/>
  <c r="H240" i="1" s="1"/>
  <c r="J129" i="49"/>
  <c r="E955" i="1" s="1"/>
  <c r="K129" i="49"/>
  <c r="F955" i="1" s="1"/>
  <c r="L129" i="49"/>
  <c r="M129" i="49"/>
  <c r="N129" i="49"/>
  <c r="O129" i="49"/>
  <c r="P129" i="49"/>
  <c r="Q129" i="49"/>
  <c r="R129" i="49"/>
  <c r="S129" i="49"/>
  <c r="H955" i="1" s="1"/>
  <c r="U129" i="49"/>
  <c r="V129" i="49"/>
  <c r="W129" i="49"/>
  <c r="J955" i="1" s="1"/>
  <c r="X129" i="49"/>
  <c r="Y129" i="49"/>
  <c r="L955" i="1" s="1"/>
  <c r="Z129" i="49"/>
  <c r="M955" i="1" s="1"/>
  <c r="AA129" i="49"/>
  <c r="N955" i="1" s="1"/>
  <c r="C132" i="49"/>
  <c r="E793" i="1" s="1"/>
  <c r="E243" i="1" s="1"/>
  <c r="D132" i="49"/>
  <c r="F793" i="1" s="1"/>
  <c r="F243" i="1" s="1"/>
  <c r="E132" i="49"/>
  <c r="G793" i="1" s="1"/>
  <c r="G243" i="1" s="1"/>
  <c r="F132" i="49"/>
  <c r="H793" i="1" s="1"/>
  <c r="H243" i="1" s="1"/>
  <c r="J132" i="49"/>
  <c r="K132" i="49"/>
  <c r="F958" i="1" s="1"/>
  <c r="L132" i="49"/>
  <c r="M132" i="49"/>
  <c r="N132" i="49"/>
  <c r="O132" i="49"/>
  <c r="P132" i="49"/>
  <c r="Q132" i="49"/>
  <c r="R132" i="49"/>
  <c r="S132" i="49"/>
  <c r="H958" i="1" s="1"/>
  <c r="U132" i="49"/>
  <c r="V132" i="49"/>
  <c r="W132" i="49"/>
  <c r="J958" i="1" s="1"/>
  <c r="X132" i="49"/>
  <c r="K958" i="1" s="1"/>
  <c r="Y132" i="49"/>
  <c r="L958" i="1" s="1"/>
  <c r="Z132" i="49"/>
  <c r="AA132" i="49"/>
  <c r="N958" i="1" s="1"/>
  <c r="C133" i="49"/>
  <c r="D133" i="49"/>
  <c r="F794" i="1" s="1"/>
  <c r="F244" i="1" s="1"/>
  <c r="E133" i="49"/>
  <c r="G794" i="1" s="1"/>
  <c r="G244" i="1" s="1"/>
  <c r="F133" i="49"/>
  <c r="H794" i="1" s="1"/>
  <c r="H244" i="1" s="1"/>
  <c r="J133" i="49"/>
  <c r="E959" i="1" s="1"/>
  <c r="K133" i="49"/>
  <c r="F959" i="1" s="1"/>
  <c r="L133" i="49"/>
  <c r="M133" i="49"/>
  <c r="N133" i="49"/>
  <c r="O133" i="49"/>
  <c r="P133" i="49"/>
  <c r="Q133" i="49"/>
  <c r="R133" i="49"/>
  <c r="S133" i="49"/>
  <c r="U133" i="49"/>
  <c r="V133" i="49"/>
  <c r="W133" i="49"/>
  <c r="J959" i="1" s="1"/>
  <c r="X133" i="49"/>
  <c r="Y133" i="49"/>
  <c r="Z133" i="49"/>
  <c r="M959" i="1" s="1"/>
  <c r="AA133" i="49"/>
  <c r="N959" i="1" s="1"/>
  <c r="C134" i="49"/>
  <c r="D134" i="49"/>
  <c r="F795" i="1" s="1"/>
  <c r="F245" i="1" s="1"/>
  <c r="E134" i="49"/>
  <c r="G795" i="1" s="1"/>
  <c r="G245" i="1" s="1"/>
  <c r="F134" i="49"/>
  <c r="H795" i="1" s="1"/>
  <c r="H245" i="1" s="1"/>
  <c r="J134" i="49"/>
  <c r="E960" i="1" s="1"/>
  <c r="K134" i="49"/>
  <c r="L134" i="49"/>
  <c r="M134" i="49"/>
  <c r="N134" i="49"/>
  <c r="O134" i="49"/>
  <c r="P134" i="49"/>
  <c r="Q134" i="49"/>
  <c r="R134" i="49"/>
  <c r="S134" i="49"/>
  <c r="H960" i="1" s="1"/>
  <c r="U134" i="49"/>
  <c r="V134" i="49"/>
  <c r="W134" i="49"/>
  <c r="J960" i="1" s="1"/>
  <c r="X134" i="49"/>
  <c r="K960" i="1" s="1"/>
  <c r="Y134" i="49"/>
  <c r="L960" i="1" s="1"/>
  <c r="Z134" i="49"/>
  <c r="M960" i="1" s="1"/>
  <c r="AA134" i="49"/>
  <c r="C137" i="49"/>
  <c r="E798" i="1" s="1"/>
  <c r="E248" i="1" s="1"/>
  <c r="D137" i="49"/>
  <c r="F798" i="1" s="1"/>
  <c r="F248" i="1" s="1"/>
  <c r="E137" i="49"/>
  <c r="G798" i="1" s="1"/>
  <c r="G248" i="1" s="1"/>
  <c r="F137" i="49"/>
  <c r="H798" i="1" s="1"/>
  <c r="H248" i="1" s="1"/>
  <c r="J137" i="49"/>
  <c r="E963" i="1" s="1"/>
  <c r="K137" i="49"/>
  <c r="F963" i="1" s="1"/>
  <c r="L137" i="49"/>
  <c r="M137" i="49"/>
  <c r="N137" i="49"/>
  <c r="O137" i="49"/>
  <c r="P137" i="49"/>
  <c r="Q137" i="49"/>
  <c r="R137" i="49"/>
  <c r="S137" i="49"/>
  <c r="H963" i="1" s="1"/>
  <c r="U137" i="49"/>
  <c r="V137" i="49"/>
  <c r="W137" i="49"/>
  <c r="X137" i="49"/>
  <c r="Y137" i="49"/>
  <c r="L963" i="1" s="1"/>
  <c r="Z137" i="49"/>
  <c r="M963" i="1" s="1"/>
  <c r="AA137" i="49"/>
  <c r="N963" i="1" s="1"/>
  <c r="C138" i="49"/>
  <c r="E799" i="1" s="1"/>
  <c r="E249" i="1" s="1"/>
  <c r="D138" i="49"/>
  <c r="E138" i="49"/>
  <c r="G799" i="1" s="1"/>
  <c r="G249" i="1" s="1"/>
  <c r="F138" i="49"/>
  <c r="J138" i="49"/>
  <c r="E964" i="1" s="1"/>
  <c r="K138" i="49"/>
  <c r="L138" i="49"/>
  <c r="M138" i="49"/>
  <c r="N138" i="49"/>
  <c r="O138" i="49"/>
  <c r="P138" i="49"/>
  <c r="Q138" i="49"/>
  <c r="R138" i="49"/>
  <c r="S138" i="49"/>
  <c r="U138" i="49"/>
  <c r="V138" i="49"/>
  <c r="W138" i="49"/>
  <c r="J964" i="1" s="1"/>
  <c r="X138" i="49"/>
  <c r="K964" i="1" s="1"/>
  <c r="Y138" i="49"/>
  <c r="Z138" i="49"/>
  <c r="M964" i="1" s="1"/>
  <c r="AA138" i="49"/>
  <c r="N964" i="1" s="1"/>
  <c r="C139" i="49"/>
  <c r="E800" i="1" s="1"/>
  <c r="E250" i="1" s="1"/>
  <c r="D139" i="49"/>
  <c r="F800" i="1" s="1"/>
  <c r="F250" i="1" s="1"/>
  <c r="E139" i="49"/>
  <c r="G800" i="1" s="1"/>
  <c r="G250" i="1" s="1"/>
  <c r="F139" i="49"/>
  <c r="H800" i="1" s="1"/>
  <c r="H250" i="1" s="1"/>
  <c r="J139" i="49"/>
  <c r="K139" i="49"/>
  <c r="F965" i="1" s="1"/>
  <c r="L139" i="49"/>
  <c r="M139" i="49"/>
  <c r="N139" i="49"/>
  <c r="O139" i="49"/>
  <c r="P139" i="49"/>
  <c r="Q139" i="49"/>
  <c r="R139" i="49"/>
  <c r="S139" i="49"/>
  <c r="H965" i="1" s="1"/>
  <c r="U139" i="49"/>
  <c r="V139" i="49"/>
  <c r="W139" i="49"/>
  <c r="J965" i="1" s="1"/>
  <c r="X139" i="49"/>
  <c r="K965" i="1" s="1"/>
  <c r="Y139" i="49"/>
  <c r="L965" i="1" s="1"/>
  <c r="Z139" i="49"/>
  <c r="M965" i="1" s="1"/>
  <c r="AA139" i="49"/>
  <c r="N965" i="1" s="1"/>
  <c r="C142" i="49"/>
  <c r="D142" i="49"/>
  <c r="F803" i="1" s="1"/>
  <c r="F253" i="1" s="1"/>
  <c r="E142" i="49"/>
  <c r="G803" i="1" s="1"/>
  <c r="G253" i="1" s="1"/>
  <c r="F142" i="49"/>
  <c r="H803" i="1" s="1"/>
  <c r="H253" i="1" s="1"/>
  <c r="J142" i="49"/>
  <c r="E968" i="1" s="1"/>
  <c r="K142" i="49"/>
  <c r="F968" i="1" s="1"/>
  <c r="L142" i="49"/>
  <c r="M142" i="49"/>
  <c r="N142" i="49"/>
  <c r="O142" i="49"/>
  <c r="P142" i="49"/>
  <c r="Q142" i="49"/>
  <c r="R142" i="49"/>
  <c r="S142" i="49"/>
  <c r="H968" i="1" s="1"/>
  <c r="U142" i="49"/>
  <c r="V142" i="49"/>
  <c r="W142" i="49"/>
  <c r="J968" i="1" s="1"/>
  <c r="X142" i="49"/>
  <c r="K968" i="1" s="1"/>
  <c r="Y142" i="49"/>
  <c r="L968" i="1" s="1"/>
  <c r="Z142" i="49"/>
  <c r="M968" i="1" s="1"/>
  <c r="AA142" i="49"/>
  <c r="N968" i="1" s="1"/>
  <c r="C143" i="49"/>
  <c r="E804" i="1" s="1"/>
  <c r="E254" i="1" s="1"/>
  <c r="D143" i="49"/>
  <c r="E143" i="49"/>
  <c r="G804" i="1" s="1"/>
  <c r="G254" i="1" s="1"/>
  <c r="F143" i="49"/>
  <c r="J143" i="49"/>
  <c r="E969" i="1" s="1"/>
  <c r="K143" i="49"/>
  <c r="F969" i="1" s="1"/>
  <c r="L143" i="49"/>
  <c r="M143" i="49"/>
  <c r="N143" i="49"/>
  <c r="O143" i="49"/>
  <c r="P143" i="49"/>
  <c r="Q143" i="49"/>
  <c r="R143" i="49"/>
  <c r="S143" i="49"/>
  <c r="H969" i="1" s="1"/>
  <c r="U143" i="49"/>
  <c r="V143" i="49"/>
  <c r="W143" i="49"/>
  <c r="J969" i="1" s="1"/>
  <c r="X143" i="49"/>
  <c r="K969" i="1" s="1"/>
  <c r="Y143" i="49"/>
  <c r="Z143" i="49"/>
  <c r="M969" i="1" s="1"/>
  <c r="AA143" i="49"/>
  <c r="N969" i="1" s="1"/>
  <c r="C144" i="49"/>
  <c r="D144" i="49"/>
  <c r="F805" i="1" s="1"/>
  <c r="F255" i="1" s="1"/>
  <c r="E144" i="49"/>
  <c r="G805" i="1" s="1"/>
  <c r="G255" i="1" s="1"/>
  <c r="F144" i="49"/>
  <c r="H805" i="1" s="1"/>
  <c r="H255" i="1" s="1"/>
  <c r="J144" i="49"/>
  <c r="E970" i="1" s="1"/>
  <c r="K144" i="49"/>
  <c r="L144" i="49"/>
  <c r="M144" i="49"/>
  <c r="N144" i="49"/>
  <c r="O144" i="49"/>
  <c r="P144" i="49"/>
  <c r="Q144" i="49"/>
  <c r="R144" i="49"/>
  <c r="S144" i="49"/>
  <c r="U144" i="49"/>
  <c r="V144" i="49"/>
  <c r="W144" i="49"/>
  <c r="J970" i="1" s="1"/>
  <c r="X144" i="49"/>
  <c r="K970" i="1" s="1"/>
  <c r="Y144" i="49"/>
  <c r="L970" i="1" s="1"/>
  <c r="Z144" i="49"/>
  <c r="AA144" i="49"/>
  <c r="N970" i="1" s="1"/>
  <c r="C147" i="49"/>
  <c r="E808" i="1" s="1"/>
  <c r="E258" i="1" s="1"/>
  <c r="D147" i="49"/>
  <c r="E147" i="49"/>
  <c r="F147" i="49"/>
  <c r="J147" i="49"/>
  <c r="E973" i="1" s="1"/>
  <c r="K147" i="49"/>
  <c r="L147" i="49"/>
  <c r="M147" i="49"/>
  <c r="N147" i="49"/>
  <c r="O147" i="49"/>
  <c r="P147" i="49"/>
  <c r="Q147" i="49"/>
  <c r="R147" i="49"/>
  <c r="S147" i="49"/>
  <c r="H973" i="1" s="1"/>
  <c r="U147" i="49"/>
  <c r="V147" i="49"/>
  <c r="W147" i="49"/>
  <c r="X147" i="49"/>
  <c r="Y147" i="49"/>
  <c r="L973" i="1" s="1"/>
  <c r="Z147" i="49"/>
  <c r="M973" i="1" s="1"/>
  <c r="AA147" i="49"/>
  <c r="N973" i="1" s="1"/>
  <c r="C148" i="49"/>
  <c r="E809" i="1" s="1"/>
  <c r="E259" i="1" s="1"/>
  <c r="D148" i="49"/>
  <c r="E148" i="49"/>
  <c r="G809" i="1" s="1"/>
  <c r="G259" i="1" s="1"/>
  <c r="F148" i="49"/>
  <c r="H809" i="1" s="1"/>
  <c r="H259" i="1" s="1"/>
  <c r="J148" i="49"/>
  <c r="E974" i="1" s="1"/>
  <c r="K148" i="49"/>
  <c r="F974" i="1" s="1"/>
  <c r="L148" i="49"/>
  <c r="M148" i="49"/>
  <c r="N148" i="49"/>
  <c r="O148" i="49"/>
  <c r="P148" i="49"/>
  <c r="Q148" i="49"/>
  <c r="R148" i="49"/>
  <c r="S148" i="49"/>
  <c r="H974" i="1" s="1"/>
  <c r="U148" i="49"/>
  <c r="V148" i="49"/>
  <c r="W148" i="49"/>
  <c r="J974" i="1" s="1"/>
  <c r="X148" i="49"/>
  <c r="K974" i="1" s="1"/>
  <c r="Y148" i="49"/>
  <c r="L974" i="1" s="1"/>
  <c r="Z148" i="49"/>
  <c r="M974" i="1" s="1"/>
  <c r="AA148" i="49"/>
  <c r="N974" i="1" s="1"/>
  <c r="C149" i="49"/>
  <c r="D149" i="49"/>
  <c r="F810" i="1" s="1"/>
  <c r="F260" i="1" s="1"/>
  <c r="E149" i="49"/>
  <c r="G810" i="1" s="1"/>
  <c r="G260" i="1" s="1"/>
  <c r="F149" i="49"/>
  <c r="H810" i="1" s="1"/>
  <c r="H260" i="1" s="1"/>
  <c r="J149" i="49"/>
  <c r="E975" i="1" s="1"/>
  <c r="K149" i="49"/>
  <c r="F975" i="1" s="1"/>
  <c r="L149" i="49"/>
  <c r="M149" i="49"/>
  <c r="N149" i="49"/>
  <c r="O149" i="49"/>
  <c r="P149" i="49"/>
  <c r="Q149" i="49"/>
  <c r="R149" i="49"/>
  <c r="S149" i="49"/>
  <c r="U149" i="49"/>
  <c r="V149" i="49"/>
  <c r="W149" i="49"/>
  <c r="J975" i="1" s="1"/>
  <c r="X149" i="49"/>
  <c r="K975" i="1" s="1"/>
  <c r="Y149" i="49"/>
  <c r="L975" i="1" s="1"/>
  <c r="Z149" i="49"/>
  <c r="M975" i="1" s="1"/>
  <c r="AA149" i="49"/>
  <c r="N975" i="1" s="1"/>
  <c r="C150" i="49"/>
  <c r="D150" i="49"/>
  <c r="F811" i="1" s="1"/>
  <c r="F261" i="1" s="1"/>
  <c r="E150" i="49"/>
  <c r="G811" i="1" s="1"/>
  <c r="G261" i="1" s="1"/>
  <c r="F150" i="49"/>
  <c r="H811" i="1" s="1"/>
  <c r="H261" i="1" s="1"/>
  <c r="J150" i="49"/>
  <c r="E976" i="1" s="1"/>
  <c r="K150" i="49"/>
  <c r="F976" i="1" s="1"/>
  <c r="L150" i="49"/>
  <c r="M150" i="49"/>
  <c r="N150" i="49"/>
  <c r="O150" i="49"/>
  <c r="P150" i="49"/>
  <c r="Q150" i="49"/>
  <c r="R150" i="49"/>
  <c r="S150" i="49"/>
  <c r="H976" i="1" s="1"/>
  <c r="U150" i="49"/>
  <c r="V150" i="49"/>
  <c r="W150" i="49"/>
  <c r="J976" i="1" s="1"/>
  <c r="X150" i="49"/>
  <c r="K976" i="1" s="1"/>
  <c r="Y150" i="49"/>
  <c r="L976" i="1" s="1"/>
  <c r="Z150" i="49"/>
  <c r="M976" i="1" s="1"/>
  <c r="AA150" i="49"/>
  <c r="N976" i="1" s="1"/>
  <c r="C151" i="49"/>
  <c r="E812" i="1" s="1"/>
  <c r="E262" i="1" s="1"/>
  <c r="D151" i="49"/>
  <c r="F812" i="1" s="1"/>
  <c r="F262" i="1" s="1"/>
  <c r="E151" i="49"/>
  <c r="F151" i="49"/>
  <c r="H812" i="1" s="1"/>
  <c r="H262" i="1" s="1"/>
  <c r="J151" i="49"/>
  <c r="E977" i="1" s="1"/>
  <c r="K151" i="49"/>
  <c r="F977" i="1" s="1"/>
  <c r="L151" i="49"/>
  <c r="M151" i="49"/>
  <c r="N151" i="49"/>
  <c r="O151" i="49"/>
  <c r="P151" i="49"/>
  <c r="Q151" i="49"/>
  <c r="R151" i="49"/>
  <c r="S151" i="49"/>
  <c r="H977" i="1" s="1"/>
  <c r="U151" i="49"/>
  <c r="V151" i="49"/>
  <c r="W151" i="49"/>
  <c r="J977" i="1" s="1"/>
  <c r="X151" i="49"/>
  <c r="K977" i="1" s="1"/>
  <c r="Y151" i="49"/>
  <c r="L977" i="1" s="1"/>
  <c r="Z151" i="49"/>
  <c r="M977" i="1" s="1"/>
  <c r="AA151" i="49"/>
  <c r="N977" i="1" s="1"/>
  <c r="C152" i="49"/>
  <c r="E813" i="1" s="1"/>
  <c r="E263" i="1" s="1"/>
  <c r="D152" i="49"/>
  <c r="F813" i="1" s="1"/>
  <c r="F263" i="1" s="1"/>
  <c r="E152" i="49"/>
  <c r="G813" i="1" s="1"/>
  <c r="G263" i="1" s="1"/>
  <c r="F152" i="49"/>
  <c r="H813" i="1" s="1"/>
  <c r="H263" i="1" s="1"/>
  <c r="J152" i="49"/>
  <c r="E978" i="1" s="1"/>
  <c r="K152" i="49"/>
  <c r="F978" i="1" s="1"/>
  <c r="L152" i="49"/>
  <c r="M152" i="49"/>
  <c r="N152" i="49"/>
  <c r="O152" i="49"/>
  <c r="P152" i="49"/>
  <c r="Q152" i="49"/>
  <c r="R152" i="49"/>
  <c r="S152" i="49"/>
  <c r="H978" i="1" s="1"/>
  <c r="U152" i="49"/>
  <c r="V152" i="49"/>
  <c r="W152" i="49"/>
  <c r="J978" i="1" s="1"/>
  <c r="X152" i="49"/>
  <c r="K978" i="1" s="1"/>
  <c r="Y152" i="49"/>
  <c r="L978" i="1" s="1"/>
  <c r="Z152" i="49"/>
  <c r="AA152" i="49"/>
  <c r="C155" i="49"/>
  <c r="D155" i="49"/>
  <c r="F816" i="1" s="1"/>
  <c r="F266" i="1" s="1"/>
  <c r="E155" i="49"/>
  <c r="G816" i="1" s="1"/>
  <c r="G266" i="1" s="1"/>
  <c r="F155" i="49"/>
  <c r="H816" i="1" s="1"/>
  <c r="H266" i="1" s="1"/>
  <c r="J155" i="49"/>
  <c r="E981" i="1" s="1"/>
  <c r="K155" i="49"/>
  <c r="F981" i="1" s="1"/>
  <c r="L155" i="49"/>
  <c r="M155" i="49"/>
  <c r="N155" i="49"/>
  <c r="O155" i="49"/>
  <c r="P155" i="49"/>
  <c r="Q155" i="49"/>
  <c r="R155" i="49"/>
  <c r="S155" i="49"/>
  <c r="H981" i="1" s="1"/>
  <c r="U155" i="49"/>
  <c r="V155" i="49"/>
  <c r="W155" i="49"/>
  <c r="J981" i="1" s="1"/>
  <c r="X155" i="49"/>
  <c r="K981" i="1" s="1"/>
  <c r="Y155" i="49"/>
  <c r="L981" i="1" s="1"/>
  <c r="Z155" i="49"/>
  <c r="AA155" i="49"/>
  <c r="N981" i="1" s="1"/>
  <c r="C156" i="49"/>
  <c r="E817" i="1" s="1"/>
  <c r="E267" i="1" s="1"/>
  <c r="D156" i="49"/>
  <c r="F817" i="1" s="1"/>
  <c r="F267" i="1" s="1"/>
  <c r="E156" i="49"/>
  <c r="F156" i="49"/>
  <c r="H817" i="1" s="1"/>
  <c r="H267" i="1" s="1"/>
  <c r="J156" i="49"/>
  <c r="K156" i="49"/>
  <c r="F982" i="1" s="1"/>
  <c r="L156" i="49"/>
  <c r="M156" i="49"/>
  <c r="N156" i="49"/>
  <c r="O156" i="49"/>
  <c r="P156" i="49"/>
  <c r="Q156" i="49"/>
  <c r="R156" i="49"/>
  <c r="S156" i="49"/>
  <c r="H982" i="1" s="1"/>
  <c r="U156" i="49"/>
  <c r="V156" i="49"/>
  <c r="W156" i="49"/>
  <c r="J982" i="1" s="1"/>
  <c r="X156" i="49"/>
  <c r="K982" i="1" s="1"/>
  <c r="Y156" i="49"/>
  <c r="Z156" i="49"/>
  <c r="M982" i="1" s="1"/>
  <c r="AA156" i="49"/>
  <c r="N982" i="1" s="1"/>
  <c r="C157" i="49"/>
  <c r="E818" i="1" s="1"/>
  <c r="E268" i="1" s="1"/>
  <c r="D157" i="49"/>
  <c r="E157" i="49"/>
  <c r="G818" i="1" s="1"/>
  <c r="G268" i="1" s="1"/>
  <c r="F157" i="49"/>
  <c r="H818" i="1" s="1"/>
  <c r="H268" i="1" s="1"/>
  <c r="J157" i="49"/>
  <c r="E983" i="1" s="1"/>
  <c r="K157" i="49"/>
  <c r="F983" i="1" s="1"/>
  <c r="L157" i="49"/>
  <c r="M157" i="49"/>
  <c r="N157" i="49"/>
  <c r="O157" i="49"/>
  <c r="P157" i="49"/>
  <c r="Q157" i="49"/>
  <c r="R157" i="49"/>
  <c r="S157" i="49"/>
  <c r="H983" i="1" s="1"/>
  <c r="U157" i="49"/>
  <c r="V157" i="49"/>
  <c r="W157" i="49"/>
  <c r="J983" i="1" s="1"/>
  <c r="X157" i="49"/>
  <c r="K983" i="1" s="1"/>
  <c r="Y157" i="49"/>
  <c r="L983" i="1" s="1"/>
  <c r="Z157" i="49"/>
  <c r="M983" i="1" s="1"/>
  <c r="AA157" i="49"/>
  <c r="N983" i="1" s="1"/>
  <c r="C158" i="49"/>
  <c r="E819" i="1" s="1"/>
  <c r="E269" i="1" s="1"/>
  <c r="D158" i="49"/>
  <c r="F819" i="1" s="1"/>
  <c r="F269" i="1" s="1"/>
  <c r="E158" i="49"/>
  <c r="F158" i="49"/>
  <c r="H819" i="1" s="1"/>
  <c r="H269" i="1" s="1"/>
  <c r="J158" i="49"/>
  <c r="E984" i="1" s="1"/>
  <c r="K158" i="49"/>
  <c r="F984" i="1" s="1"/>
  <c r="L158" i="49"/>
  <c r="M158" i="49"/>
  <c r="N158" i="49"/>
  <c r="O158" i="49"/>
  <c r="P158" i="49"/>
  <c r="Q158" i="49"/>
  <c r="R158" i="49"/>
  <c r="S158" i="49"/>
  <c r="H984" i="1" s="1"/>
  <c r="U158" i="49"/>
  <c r="V158" i="49"/>
  <c r="W158" i="49"/>
  <c r="J984" i="1" s="1"/>
  <c r="X158" i="49"/>
  <c r="Y158" i="49"/>
  <c r="L984" i="1" s="1"/>
  <c r="Z158" i="49"/>
  <c r="M984" i="1" s="1"/>
  <c r="AA158" i="49"/>
  <c r="N984" i="1" s="1"/>
  <c r="C159" i="49"/>
  <c r="D159" i="49"/>
  <c r="F820" i="1" s="1"/>
  <c r="F270" i="1" s="1"/>
  <c r="E159" i="49"/>
  <c r="G820" i="1" s="1"/>
  <c r="G270" i="1" s="1"/>
  <c r="F159" i="49"/>
  <c r="H820" i="1" s="1"/>
  <c r="H270" i="1" s="1"/>
  <c r="J159" i="49"/>
  <c r="E985" i="1" s="1"/>
  <c r="K159" i="49"/>
  <c r="F985" i="1" s="1"/>
  <c r="L159" i="49"/>
  <c r="M159" i="49"/>
  <c r="N159" i="49"/>
  <c r="O159" i="49"/>
  <c r="P159" i="49"/>
  <c r="Q159" i="49"/>
  <c r="R159" i="49"/>
  <c r="S159" i="49"/>
  <c r="U159" i="49"/>
  <c r="V159" i="49"/>
  <c r="W159" i="49"/>
  <c r="J985" i="1" s="1"/>
  <c r="X159" i="49"/>
  <c r="K985" i="1" s="1"/>
  <c r="Y159" i="49"/>
  <c r="L985" i="1" s="1"/>
  <c r="Z159" i="49"/>
  <c r="M985" i="1" s="1"/>
  <c r="AA159" i="49"/>
  <c r="N985" i="1" s="1"/>
  <c r="C160" i="49"/>
  <c r="D160" i="49"/>
  <c r="F821" i="1" s="1"/>
  <c r="F271" i="1" s="1"/>
  <c r="E160" i="49"/>
  <c r="G821" i="1" s="1"/>
  <c r="G271" i="1" s="1"/>
  <c r="F160" i="49"/>
  <c r="H821" i="1" s="1"/>
  <c r="H271" i="1" s="1"/>
  <c r="J160" i="49"/>
  <c r="E986" i="1" s="1"/>
  <c r="K160" i="49"/>
  <c r="F986" i="1" s="1"/>
  <c r="L160" i="49"/>
  <c r="M160" i="49"/>
  <c r="N160" i="49"/>
  <c r="O160" i="49"/>
  <c r="P160" i="49"/>
  <c r="Q160" i="49"/>
  <c r="R160" i="49"/>
  <c r="S160" i="49"/>
  <c r="H986" i="1" s="1"/>
  <c r="U160" i="49"/>
  <c r="V160" i="49"/>
  <c r="W160" i="49"/>
  <c r="J986" i="1" s="1"/>
  <c r="X160" i="49"/>
  <c r="K986" i="1" s="1"/>
  <c r="Y160" i="49"/>
  <c r="L986" i="1" s="1"/>
  <c r="Z160" i="49"/>
  <c r="M986" i="1" s="1"/>
  <c r="AA160" i="49"/>
  <c r="C163" i="49"/>
  <c r="D163" i="49"/>
  <c r="F824" i="1" s="1"/>
  <c r="F274" i="1" s="1"/>
  <c r="E163" i="49"/>
  <c r="G824" i="1" s="1"/>
  <c r="G274" i="1" s="1"/>
  <c r="F163" i="49"/>
  <c r="H824" i="1" s="1"/>
  <c r="H274" i="1" s="1"/>
  <c r="J163" i="49"/>
  <c r="E989" i="1" s="1"/>
  <c r="K163" i="49"/>
  <c r="F989" i="1" s="1"/>
  <c r="L163" i="49"/>
  <c r="M163" i="49"/>
  <c r="N163" i="49"/>
  <c r="O163" i="49"/>
  <c r="P163" i="49"/>
  <c r="Q163" i="49"/>
  <c r="R163" i="49"/>
  <c r="S163" i="49"/>
  <c r="H989" i="1" s="1"/>
  <c r="U163" i="49"/>
  <c r="V163" i="49"/>
  <c r="W163" i="49"/>
  <c r="X163" i="49"/>
  <c r="K989" i="1" s="1"/>
  <c r="Y163" i="49"/>
  <c r="L989" i="1" s="1"/>
  <c r="Z163" i="49"/>
  <c r="M989" i="1" s="1"/>
  <c r="AA163" i="49"/>
  <c r="C164" i="49"/>
  <c r="E825" i="1" s="1"/>
  <c r="E275" i="1" s="1"/>
  <c r="D164" i="49"/>
  <c r="F825" i="1" s="1"/>
  <c r="F275" i="1" s="1"/>
  <c r="E164" i="49"/>
  <c r="G825" i="1" s="1"/>
  <c r="G275" i="1" s="1"/>
  <c r="F164" i="49"/>
  <c r="H825" i="1" s="1"/>
  <c r="H275" i="1" s="1"/>
  <c r="J164" i="49"/>
  <c r="E990" i="1" s="1"/>
  <c r="K164" i="49"/>
  <c r="F990" i="1" s="1"/>
  <c r="L164" i="49"/>
  <c r="M164" i="49"/>
  <c r="N164" i="49"/>
  <c r="O164" i="49"/>
  <c r="P164" i="49"/>
  <c r="Q164" i="49"/>
  <c r="R164" i="49"/>
  <c r="S164" i="49"/>
  <c r="H990" i="1" s="1"/>
  <c r="U164" i="49"/>
  <c r="V164" i="49"/>
  <c r="W164" i="49"/>
  <c r="J990" i="1" s="1"/>
  <c r="X164" i="49"/>
  <c r="K990" i="1" s="1"/>
  <c r="Y164" i="49"/>
  <c r="L990" i="1" s="1"/>
  <c r="Z164" i="49"/>
  <c r="M990" i="1" s="1"/>
  <c r="AA164" i="49"/>
  <c r="N990" i="1" s="1"/>
  <c r="C165" i="49"/>
  <c r="E826" i="1" s="1"/>
  <c r="E276" i="1" s="1"/>
  <c r="D165" i="49"/>
  <c r="F826" i="1" s="1"/>
  <c r="F276" i="1" s="1"/>
  <c r="E165" i="49"/>
  <c r="G826" i="1" s="1"/>
  <c r="G276" i="1" s="1"/>
  <c r="F165" i="49"/>
  <c r="H826" i="1" s="1"/>
  <c r="H276" i="1" s="1"/>
  <c r="J165" i="49"/>
  <c r="E991" i="1" s="1"/>
  <c r="K165" i="49"/>
  <c r="F991" i="1" s="1"/>
  <c r="L165" i="49"/>
  <c r="M165" i="49"/>
  <c r="N165" i="49"/>
  <c r="O165" i="49"/>
  <c r="P165" i="49"/>
  <c r="Q165" i="49"/>
  <c r="R165" i="49"/>
  <c r="S165" i="49"/>
  <c r="U165" i="49"/>
  <c r="V165" i="49"/>
  <c r="W165" i="49"/>
  <c r="J991" i="1" s="1"/>
  <c r="X165" i="49"/>
  <c r="K991" i="1" s="1"/>
  <c r="Y165" i="49"/>
  <c r="Z165" i="49"/>
  <c r="M991" i="1" s="1"/>
  <c r="AA165" i="49"/>
  <c r="N991" i="1" s="1"/>
  <c r="C166" i="49"/>
  <c r="E827" i="1" s="1"/>
  <c r="E277" i="1" s="1"/>
  <c r="D166" i="49"/>
  <c r="F827" i="1" s="1"/>
  <c r="F277" i="1" s="1"/>
  <c r="E166" i="49"/>
  <c r="G827" i="1" s="1"/>
  <c r="G277" i="1" s="1"/>
  <c r="F166" i="49"/>
  <c r="H827" i="1" s="1"/>
  <c r="H277" i="1" s="1"/>
  <c r="J166" i="49"/>
  <c r="E992" i="1" s="1"/>
  <c r="K166" i="49"/>
  <c r="F992" i="1" s="1"/>
  <c r="L166" i="49"/>
  <c r="M166" i="49"/>
  <c r="N166" i="49"/>
  <c r="O166" i="49"/>
  <c r="P166" i="49"/>
  <c r="Q166" i="49"/>
  <c r="R166" i="49"/>
  <c r="S166" i="49"/>
  <c r="H992" i="1" s="1"/>
  <c r="U166" i="49"/>
  <c r="V166" i="49"/>
  <c r="W166" i="49"/>
  <c r="J992" i="1" s="1"/>
  <c r="X166" i="49"/>
  <c r="K992" i="1" s="1"/>
  <c r="Y166" i="49"/>
  <c r="L992" i="1" s="1"/>
  <c r="Z166" i="49"/>
  <c r="M992" i="1" s="1"/>
  <c r="AA166" i="49"/>
  <c r="N992" i="1" s="1"/>
  <c r="C167" i="49"/>
  <c r="E828" i="1" s="1"/>
  <c r="E278" i="1" s="1"/>
  <c r="D167" i="49"/>
  <c r="F828" i="1" s="1"/>
  <c r="F278" i="1" s="1"/>
  <c r="E167" i="49"/>
  <c r="F167" i="49"/>
  <c r="J167" i="49"/>
  <c r="E993" i="1" s="1"/>
  <c r="K167" i="49"/>
  <c r="F993" i="1" s="1"/>
  <c r="L167" i="49"/>
  <c r="M167" i="49"/>
  <c r="N167" i="49"/>
  <c r="O167" i="49"/>
  <c r="P167" i="49"/>
  <c r="Q167" i="49"/>
  <c r="R167" i="49"/>
  <c r="S167" i="49"/>
  <c r="H993" i="1" s="1"/>
  <c r="U167" i="49"/>
  <c r="V167" i="49"/>
  <c r="W167" i="49"/>
  <c r="J993" i="1" s="1"/>
  <c r="X167" i="49"/>
  <c r="K993" i="1" s="1"/>
  <c r="Y167" i="49"/>
  <c r="L993" i="1" s="1"/>
  <c r="Z167" i="49"/>
  <c r="M993" i="1" s="1"/>
  <c r="AA167" i="49"/>
  <c r="N993" i="1" s="1"/>
  <c r="C168" i="49"/>
  <c r="E829" i="1" s="1"/>
  <c r="E279" i="1" s="1"/>
  <c r="D168" i="49"/>
  <c r="F829" i="1" s="1"/>
  <c r="F279" i="1" s="1"/>
  <c r="E168" i="49"/>
  <c r="G829" i="1" s="1"/>
  <c r="G279" i="1" s="1"/>
  <c r="F168" i="49"/>
  <c r="H829" i="1" s="1"/>
  <c r="H279" i="1" s="1"/>
  <c r="J168" i="49"/>
  <c r="E994" i="1" s="1"/>
  <c r="K168" i="49"/>
  <c r="F994" i="1" s="1"/>
  <c r="L168" i="49"/>
  <c r="M168" i="49"/>
  <c r="N168" i="49"/>
  <c r="O168" i="49"/>
  <c r="P168" i="49"/>
  <c r="Q168" i="49"/>
  <c r="R168" i="49"/>
  <c r="S168" i="49"/>
  <c r="H994" i="1" s="1"/>
  <c r="U168" i="49"/>
  <c r="V168" i="49"/>
  <c r="W168" i="49"/>
  <c r="J994" i="1" s="1"/>
  <c r="X168" i="49"/>
  <c r="K994" i="1" s="1"/>
  <c r="Y168" i="49"/>
  <c r="L994" i="1" s="1"/>
  <c r="Z168" i="49"/>
  <c r="M994" i="1" s="1"/>
  <c r="AA168" i="49"/>
  <c r="N994" i="1" s="1"/>
  <c r="D12" i="36"/>
  <c r="D13" i="36"/>
  <c r="H13" i="36"/>
  <c r="E24" i="36"/>
  <c r="I24" i="36"/>
  <c r="E26" i="36"/>
  <c r="E31" i="36"/>
  <c r="I31" i="36"/>
  <c r="E32" i="36"/>
  <c r="I32" i="36"/>
  <c r="E33" i="36"/>
  <c r="I33" i="36"/>
  <c r="E34" i="36"/>
  <c r="I34" i="36"/>
  <c r="E35" i="36"/>
  <c r="I35" i="36"/>
  <c r="A35" i="36" s="1"/>
  <c r="E36" i="36"/>
  <c r="I36" i="36"/>
  <c r="E37" i="36"/>
  <c r="I37" i="36"/>
  <c r="A37" i="36" s="1"/>
  <c r="E38" i="36"/>
  <c r="I38" i="36"/>
  <c r="E39" i="36"/>
  <c r="I39" i="36"/>
  <c r="E40" i="36"/>
  <c r="I40" i="36"/>
  <c r="A40" i="36"/>
  <c r="E41" i="36"/>
  <c r="I41" i="36"/>
  <c r="A41" i="36" s="1"/>
  <c r="E42" i="36"/>
  <c r="I42" i="36"/>
  <c r="A42" i="36" s="1"/>
  <c r="E43" i="36"/>
  <c r="I43" i="36"/>
  <c r="A43" i="36"/>
  <c r="E44" i="36"/>
  <c r="I44" i="36"/>
  <c r="E45" i="36"/>
  <c r="I45" i="36"/>
  <c r="E46" i="36"/>
  <c r="I46" i="36"/>
  <c r="E47" i="36"/>
  <c r="I47" i="36"/>
  <c r="A47" i="36" s="1"/>
  <c r="E48" i="36"/>
  <c r="I48" i="36"/>
  <c r="E49" i="36"/>
  <c r="I49" i="36"/>
  <c r="E50" i="36"/>
  <c r="I50" i="36"/>
  <c r="E51" i="36"/>
  <c r="I51" i="36"/>
  <c r="E52" i="36"/>
  <c r="I52" i="36"/>
  <c r="E53" i="36"/>
  <c r="I53" i="36"/>
  <c r="E54" i="36"/>
  <c r="I54" i="36"/>
  <c r="A54" i="36" s="1"/>
  <c r="E55" i="36"/>
  <c r="I55" i="36"/>
  <c r="A55" i="36" s="1"/>
  <c r="E56" i="36"/>
  <c r="I56" i="36"/>
  <c r="E57" i="36"/>
  <c r="I57" i="36"/>
  <c r="E58" i="36"/>
  <c r="I58" i="36"/>
  <c r="E59" i="36"/>
  <c r="I59" i="36"/>
  <c r="E60" i="36"/>
  <c r="I60" i="36"/>
  <c r="E61" i="36"/>
  <c r="I61" i="36"/>
  <c r="E62" i="36"/>
  <c r="I62" i="36"/>
  <c r="E63" i="36"/>
  <c r="I63" i="36"/>
  <c r="E64" i="36"/>
  <c r="I64" i="36"/>
  <c r="E65" i="36"/>
  <c r="I65" i="36"/>
  <c r="E66" i="36"/>
  <c r="I66" i="36"/>
  <c r="E67" i="36"/>
  <c r="I67" i="36"/>
  <c r="E68" i="36"/>
  <c r="I68" i="36"/>
  <c r="E69" i="36"/>
  <c r="I69" i="36"/>
  <c r="A69" i="36" s="1"/>
  <c r="E70" i="36"/>
  <c r="I70" i="36"/>
  <c r="E71" i="36"/>
  <c r="I71" i="36"/>
  <c r="E72" i="36"/>
  <c r="I72" i="36"/>
  <c r="E73" i="36"/>
  <c r="I73" i="36"/>
  <c r="E74" i="36"/>
  <c r="I74" i="36"/>
  <c r="E75" i="36"/>
  <c r="I75" i="36"/>
  <c r="E76" i="36"/>
  <c r="I76" i="36"/>
  <c r="E77" i="36"/>
  <c r="I77" i="36"/>
  <c r="E78" i="36"/>
  <c r="I78" i="36"/>
  <c r="E79" i="36"/>
  <c r="I79" i="36"/>
  <c r="A79" i="36" s="1"/>
  <c r="E80" i="36"/>
  <c r="I80" i="36"/>
  <c r="E85" i="36"/>
  <c r="A85" i="36" s="1"/>
  <c r="E88" i="36"/>
  <c r="A88" i="36" s="1"/>
  <c r="A86" i="36" s="1"/>
  <c r="E428" i="36"/>
  <c r="E438" i="36"/>
  <c r="E439" i="36"/>
  <c r="E440" i="36"/>
  <c r="E441" i="36"/>
  <c r="E442" i="36"/>
  <c r="E443" i="36"/>
  <c r="E444" i="36"/>
  <c r="E445" i="36"/>
  <c r="E446" i="36"/>
  <c r="E475" i="36"/>
  <c r="E476" i="36"/>
  <c r="E477" i="36"/>
  <c r="E478" i="36"/>
  <c r="E479" i="36"/>
  <c r="E480" i="36"/>
  <c r="E481" i="36"/>
  <c r="E482" i="36"/>
  <c r="E483" i="36"/>
  <c r="E484" i="36"/>
  <c r="E485" i="36"/>
  <c r="E486" i="36"/>
  <c r="E487" i="36"/>
  <c r="E488" i="36"/>
  <c r="E489" i="36"/>
  <c r="E490" i="36"/>
  <c r="E491" i="36"/>
  <c r="E492" i="36"/>
  <c r="E493" i="36"/>
  <c r="E494" i="36"/>
  <c r="E495" i="36"/>
  <c r="E496" i="36"/>
  <c r="E497" i="36"/>
  <c r="E498" i="36"/>
  <c r="E499" i="36"/>
  <c r="E500" i="36"/>
  <c r="E501" i="36"/>
  <c r="E502" i="36"/>
  <c r="E503" i="36"/>
  <c r="E504" i="36"/>
  <c r="E505" i="36"/>
  <c r="E506" i="36"/>
  <c r="E507" i="36"/>
  <c r="E508" i="36"/>
  <c r="E509" i="36"/>
  <c r="E510" i="36"/>
  <c r="E511" i="36"/>
  <c r="E512" i="36"/>
  <c r="E513" i="36"/>
  <c r="E514" i="36"/>
  <c r="E515" i="36"/>
  <c r="E516" i="36"/>
  <c r="E517" i="36"/>
  <c r="E518" i="36"/>
  <c r="E519" i="36"/>
  <c r="E524" i="36"/>
  <c r="E525" i="36"/>
  <c r="E526" i="36"/>
  <c r="E527" i="36"/>
  <c r="E528" i="36"/>
  <c r="E529" i="36"/>
  <c r="E530" i="36"/>
  <c r="E531" i="36"/>
  <c r="E532" i="36"/>
  <c r="E561" i="36"/>
  <c r="E562" i="36"/>
  <c r="E563" i="36"/>
  <c r="E564" i="36"/>
  <c r="E565" i="36"/>
  <c r="E566" i="36"/>
  <c r="E567" i="36"/>
  <c r="E568" i="36"/>
  <c r="E569" i="36"/>
  <c r="E570" i="36"/>
  <c r="E571" i="36"/>
  <c r="E572" i="36"/>
  <c r="E573" i="36"/>
  <c r="E574" i="36"/>
  <c r="E575" i="36"/>
  <c r="E576" i="36"/>
  <c r="E577" i="36"/>
  <c r="E578" i="36"/>
  <c r="E579" i="36"/>
  <c r="E580" i="36"/>
  <c r="E581" i="36"/>
  <c r="E582" i="36"/>
  <c r="E583" i="36"/>
  <c r="E584" i="36"/>
  <c r="E585" i="36"/>
  <c r="E586" i="36"/>
  <c r="E587" i="36"/>
  <c r="E588" i="36"/>
  <c r="E589" i="36"/>
  <c r="E590" i="36"/>
  <c r="E591" i="36"/>
  <c r="E592" i="36"/>
  <c r="E593" i="36"/>
  <c r="E594" i="36"/>
  <c r="E595" i="36"/>
  <c r="E596" i="36"/>
  <c r="E597" i="36"/>
  <c r="E598" i="36"/>
  <c r="E599" i="36"/>
  <c r="E600" i="36"/>
  <c r="E601" i="36"/>
  <c r="E602" i="36"/>
  <c r="E603" i="36"/>
  <c r="E604" i="36"/>
  <c r="E605" i="36"/>
  <c r="E610" i="36"/>
  <c r="E611" i="36"/>
  <c r="E612" i="36"/>
  <c r="E613" i="36"/>
  <c r="E614" i="36"/>
  <c r="E615" i="36"/>
  <c r="E616" i="36"/>
  <c r="E617" i="36"/>
  <c r="E618" i="36"/>
  <c r="E647" i="36"/>
  <c r="E648" i="36"/>
  <c r="E649" i="36"/>
  <c r="E650" i="36"/>
  <c r="E651" i="36"/>
  <c r="E652" i="36"/>
  <c r="E653" i="36"/>
  <c r="E654" i="36"/>
  <c r="E655" i="36"/>
  <c r="E656" i="36"/>
  <c r="E657" i="36"/>
  <c r="E658" i="36"/>
  <c r="E659" i="36"/>
  <c r="E660" i="36"/>
  <c r="E661" i="36"/>
  <c r="E662" i="36"/>
  <c r="E663" i="36"/>
  <c r="E664" i="36"/>
  <c r="E665" i="36"/>
  <c r="E666" i="36"/>
  <c r="E667" i="36"/>
  <c r="E668" i="36"/>
  <c r="E669" i="36"/>
  <c r="E670" i="36"/>
  <c r="E671" i="36"/>
  <c r="E672" i="36"/>
  <c r="E673" i="36"/>
  <c r="E674" i="36"/>
  <c r="E675" i="36"/>
  <c r="E676" i="36"/>
  <c r="E677" i="36"/>
  <c r="E678" i="36"/>
  <c r="E679" i="36"/>
  <c r="E680" i="36"/>
  <c r="E681" i="36"/>
  <c r="E682" i="36"/>
  <c r="E683" i="36"/>
  <c r="E684" i="36"/>
  <c r="E685" i="36"/>
  <c r="E686" i="36"/>
  <c r="E687" i="36"/>
  <c r="E688" i="36"/>
  <c r="E689" i="36"/>
  <c r="E690" i="36"/>
  <c r="E691" i="36"/>
  <c r="I693" i="36"/>
  <c r="I694" i="36"/>
  <c r="I695" i="36"/>
  <c r="I696" i="36"/>
  <c r="E701" i="36"/>
  <c r="E702" i="36"/>
  <c r="E703" i="36"/>
  <c r="E704" i="36"/>
  <c r="E705" i="36"/>
  <c r="E706" i="36"/>
  <c r="E707" i="36"/>
  <c r="E708" i="36"/>
  <c r="E709" i="36"/>
  <c r="E710" i="36"/>
  <c r="E711" i="36"/>
  <c r="E712" i="36"/>
  <c r="E713" i="36"/>
  <c r="E714" i="36"/>
  <c r="E715" i="36"/>
  <c r="E716" i="36"/>
  <c r="E717" i="36"/>
  <c r="E718" i="36"/>
  <c r="E719" i="36"/>
  <c r="E720" i="36"/>
  <c r="E721" i="36"/>
  <c r="E722" i="36"/>
  <c r="E723" i="36"/>
  <c r="E724" i="36"/>
  <c r="E725" i="36"/>
  <c r="E726" i="36"/>
  <c r="E727" i="36"/>
  <c r="E728" i="36"/>
  <c r="E729" i="36"/>
  <c r="E730" i="36"/>
  <c r="E731" i="36"/>
  <c r="E732" i="36"/>
  <c r="E733" i="36"/>
  <c r="E734" i="36"/>
  <c r="E735" i="36"/>
  <c r="E736" i="36"/>
  <c r="E737" i="36"/>
  <c r="E738" i="36"/>
  <c r="E739" i="36"/>
  <c r="E740" i="36"/>
  <c r="E741" i="36"/>
  <c r="E742" i="36"/>
  <c r="E743" i="36"/>
  <c r="E744" i="36"/>
  <c r="E745" i="36"/>
  <c r="E746" i="36"/>
  <c r="E747" i="36"/>
  <c r="E748" i="36"/>
  <c r="E749" i="36"/>
  <c r="E750" i="36"/>
  <c r="E751" i="36"/>
  <c r="E752" i="36"/>
  <c r="E753" i="36"/>
  <c r="E754" i="36"/>
  <c r="E769" i="36"/>
  <c r="E770" i="36"/>
  <c r="E771" i="36"/>
  <c r="E772" i="36"/>
  <c r="E773" i="36"/>
  <c r="E774" i="36"/>
  <c r="E776" i="36"/>
  <c r="E777" i="36"/>
  <c r="E779" i="36"/>
  <c r="E780" i="36"/>
  <c r="E781" i="36"/>
  <c r="E783" i="36"/>
  <c r="E784" i="36"/>
  <c r="E785" i="36"/>
  <c r="E786" i="36"/>
  <c r="E787" i="36"/>
  <c r="E788" i="36"/>
  <c r="E789" i="36"/>
  <c r="E791" i="36"/>
  <c r="E792" i="36"/>
  <c r="E793" i="36"/>
  <c r="E802" i="36"/>
  <c r="I803" i="36"/>
  <c r="I807" i="36"/>
  <c r="I813" i="36"/>
  <c r="I817" i="36"/>
  <c r="I818" i="36"/>
  <c r="I819" i="36"/>
  <c r="I820" i="36"/>
  <c r="E821" i="36"/>
  <c r="E825" i="36"/>
  <c r="A826" i="36"/>
  <c r="I851" i="36"/>
  <c r="I854" i="36"/>
  <c r="A874" i="36"/>
  <c r="A876" i="36"/>
  <c r="A877" i="36"/>
  <c r="E893" i="36"/>
  <c r="B9" i="22"/>
  <c r="J19" i="22"/>
  <c r="F25" i="22"/>
  <c r="D26" i="22"/>
  <c r="F31" i="22"/>
  <c r="B39" i="22"/>
  <c r="C51" i="22"/>
  <c r="D51" i="22"/>
  <c r="E55" i="22"/>
  <c r="D56" i="22"/>
  <c r="D65" i="22"/>
  <c r="G118" i="22"/>
  <c r="I118" i="22" s="1"/>
  <c r="K118" i="22" s="1"/>
  <c r="F231" i="22"/>
  <c r="G231" i="22"/>
  <c r="I231" i="22" s="1"/>
  <c r="K231" i="22" s="1"/>
  <c r="F233" i="22"/>
  <c r="G233" i="22"/>
  <c r="I233" i="22" s="1"/>
  <c r="K233" i="22" s="1"/>
  <c r="F252" i="22"/>
  <c r="G252" i="22" s="1"/>
  <c r="I252" i="22"/>
  <c r="K252" i="22" s="1"/>
  <c r="G259" i="22"/>
  <c r="J15" i="1"/>
  <c r="J16" i="1"/>
  <c r="J17" i="1"/>
  <c r="J18" i="1"/>
  <c r="J19" i="1"/>
  <c r="J20" i="1"/>
  <c r="J16" i="22" s="1"/>
  <c r="J21" i="1"/>
  <c r="J22" i="1"/>
  <c r="J23" i="1"/>
  <c r="J24" i="1"/>
  <c r="J25" i="1"/>
  <c r="J26" i="1"/>
  <c r="E27" i="1"/>
  <c r="F27" i="1"/>
  <c r="G27" i="1"/>
  <c r="H27" i="1"/>
  <c r="I27" i="1"/>
  <c r="J29" i="1"/>
  <c r="J30" i="1"/>
  <c r="J31" i="1"/>
  <c r="J32" i="1"/>
  <c r="J33" i="1"/>
  <c r="I520" i="36" s="1"/>
  <c r="J34" i="1"/>
  <c r="J38" i="1"/>
  <c r="I176" i="36" s="1"/>
  <c r="J39" i="1"/>
  <c r="I262" i="36" s="1"/>
  <c r="E40" i="1"/>
  <c r="F40" i="1"/>
  <c r="G40" i="1"/>
  <c r="H40" i="1"/>
  <c r="I40" i="1"/>
  <c r="J42" i="1"/>
  <c r="I348" i="36" s="1"/>
  <c r="J43" i="1"/>
  <c r="I434" i="36" s="1"/>
  <c r="E44" i="1"/>
  <c r="F44" i="1"/>
  <c r="G44" i="1"/>
  <c r="H44" i="1"/>
  <c r="I44" i="1"/>
  <c r="J46" i="1"/>
  <c r="I755" i="36" s="1"/>
  <c r="J47" i="1"/>
  <c r="J48" i="1"/>
  <c r="I692" i="36" s="1"/>
  <c r="I697" i="36" s="1"/>
  <c r="J49" i="1"/>
  <c r="J50" i="1"/>
  <c r="J51" i="1"/>
  <c r="I606" i="36" s="1"/>
  <c r="E52" i="1"/>
  <c r="F52" i="1"/>
  <c r="G52" i="1"/>
  <c r="H52" i="1"/>
  <c r="I52" i="1"/>
  <c r="J61" i="1"/>
  <c r="J62" i="1"/>
  <c r="J63" i="1"/>
  <c r="J64" i="1"/>
  <c r="J65" i="1"/>
  <c r="I66" i="1"/>
  <c r="E20" i="39" s="1"/>
  <c r="J66" i="1"/>
  <c r="J68" i="1"/>
  <c r="I69" i="1"/>
  <c r="J69" i="1" s="1"/>
  <c r="J70" i="1"/>
  <c r="J71" i="1"/>
  <c r="J72" i="1"/>
  <c r="I73" i="1"/>
  <c r="J73" i="1" s="1"/>
  <c r="J76" i="1"/>
  <c r="J77" i="1"/>
  <c r="J78" i="1"/>
  <c r="J79" i="1"/>
  <c r="J80" i="1"/>
  <c r="J81" i="1"/>
  <c r="I82" i="1"/>
  <c r="J84" i="1"/>
  <c r="J85" i="1"/>
  <c r="J86" i="1"/>
  <c r="J87" i="1"/>
  <c r="J88" i="1"/>
  <c r="J89" i="1"/>
  <c r="I90" i="1"/>
  <c r="I92" i="1"/>
  <c r="J92" i="1"/>
  <c r="I93" i="1"/>
  <c r="J93" i="1"/>
  <c r="J94" i="1"/>
  <c r="J95" i="1"/>
  <c r="J96" i="1"/>
  <c r="J97" i="1"/>
  <c r="I98" i="1"/>
  <c r="E24" i="39" s="1"/>
  <c r="J98" i="1"/>
  <c r="F74" i="22" s="1"/>
  <c r="G74" i="22" s="1"/>
  <c r="I74" i="22" s="1"/>
  <c r="K74" i="22" s="1"/>
  <c r="J100" i="1"/>
  <c r="J101" i="1"/>
  <c r="J102" i="1"/>
  <c r="J103" i="1"/>
  <c r="J104" i="1"/>
  <c r="J105" i="1"/>
  <c r="I106" i="1"/>
  <c r="E25" i="39" s="1"/>
  <c r="J106" i="1"/>
  <c r="F75" i="22" s="1"/>
  <c r="G75" i="22" s="1"/>
  <c r="I75" i="22" s="1"/>
  <c r="K75" i="22" s="1"/>
  <c r="J108" i="1"/>
  <c r="J109" i="1"/>
  <c r="J110" i="1"/>
  <c r="J111" i="1"/>
  <c r="J112" i="1"/>
  <c r="J113" i="1"/>
  <c r="I114" i="1"/>
  <c r="E26" i="39" s="1"/>
  <c r="J114" i="1"/>
  <c r="F76" i="22" s="1"/>
  <c r="G76" i="22" s="1"/>
  <c r="I76" i="22" s="1"/>
  <c r="K76" i="22" s="1"/>
  <c r="J116" i="1"/>
  <c r="J117" i="1"/>
  <c r="J118" i="1"/>
  <c r="E119" i="1"/>
  <c r="F119" i="1"/>
  <c r="G119" i="1"/>
  <c r="H119" i="1"/>
  <c r="J121" i="1"/>
  <c r="J122" i="1"/>
  <c r="J123" i="1"/>
  <c r="I124" i="1"/>
  <c r="E27" i="39" s="1"/>
  <c r="J124" i="1"/>
  <c r="F78" i="22" s="1"/>
  <c r="G78" i="22" s="1"/>
  <c r="I78" i="22" s="1"/>
  <c r="K78" i="22" s="1"/>
  <c r="J282" i="1"/>
  <c r="J283" i="1"/>
  <c r="J284" i="1"/>
  <c r="J285" i="1"/>
  <c r="J286" i="1"/>
  <c r="J287" i="1"/>
  <c r="I288" i="1"/>
  <c r="J288" i="1"/>
  <c r="I290" i="1"/>
  <c r="J291" i="1"/>
  <c r="J292" i="1"/>
  <c r="J293" i="1"/>
  <c r="J294" i="1"/>
  <c r="J295" i="1"/>
  <c r="J298" i="1"/>
  <c r="J299" i="1"/>
  <c r="J300" i="1"/>
  <c r="J301" i="1"/>
  <c r="J302" i="1"/>
  <c r="J303" i="1"/>
  <c r="E304" i="1"/>
  <c r="F304" i="1"/>
  <c r="G304" i="1"/>
  <c r="H304" i="1"/>
  <c r="E560" i="39" s="1"/>
  <c r="J306" i="1"/>
  <c r="J307" i="1"/>
  <c r="J308" i="1"/>
  <c r="J309" i="1"/>
  <c r="J310" i="1"/>
  <c r="J311" i="1"/>
  <c r="I312" i="1"/>
  <c r="J312" i="1" s="1"/>
  <c r="F82" i="22" s="1"/>
  <c r="G82" i="22" s="1"/>
  <c r="I82" i="22" s="1"/>
  <c r="K82" i="22" s="1"/>
  <c r="I314" i="1"/>
  <c r="J314" i="1"/>
  <c r="J315" i="1"/>
  <c r="J316" i="1"/>
  <c r="I317" i="1"/>
  <c r="J317" i="1" s="1"/>
  <c r="I318" i="1"/>
  <c r="J318" i="1" s="1"/>
  <c r="I319" i="1"/>
  <c r="J319" i="1"/>
  <c r="J322" i="1"/>
  <c r="J323" i="1"/>
  <c r="J324" i="1"/>
  <c r="J325" i="1"/>
  <c r="J326" i="1"/>
  <c r="J327" i="1"/>
  <c r="I328" i="1"/>
  <c r="J328" i="1"/>
  <c r="J330" i="1"/>
  <c r="J331" i="1"/>
  <c r="J332" i="1"/>
  <c r="J333" i="1"/>
  <c r="J334" i="1"/>
  <c r="J335" i="1"/>
  <c r="I336" i="1"/>
  <c r="J336" i="1"/>
  <c r="E1284" i="1" s="1"/>
  <c r="E493" i="39" s="1"/>
  <c r="I338" i="1"/>
  <c r="J338" i="1"/>
  <c r="J339" i="1"/>
  <c r="J340" i="1"/>
  <c r="J341" i="1"/>
  <c r="J342" i="1"/>
  <c r="J343" i="1"/>
  <c r="I344" i="1"/>
  <c r="J344" i="1" s="1"/>
  <c r="E1285" i="1" s="1"/>
  <c r="J346" i="1"/>
  <c r="J347" i="1"/>
  <c r="J348" i="1"/>
  <c r="I349" i="1"/>
  <c r="J349" i="1"/>
  <c r="I351" i="1"/>
  <c r="J351" i="1"/>
  <c r="I352" i="1"/>
  <c r="J352" i="1"/>
  <c r="J353" i="1"/>
  <c r="J356" i="1"/>
  <c r="J357" i="1"/>
  <c r="J358" i="1"/>
  <c r="J359" i="1"/>
  <c r="J360" i="1"/>
  <c r="J361" i="1"/>
  <c r="I362" i="1"/>
  <c r="J362" i="1"/>
  <c r="J364" i="1"/>
  <c r="J365" i="1"/>
  <c r="J366" i="1"/>
  <c r="J367" i="1"/>
  <c r="J368" i="1"/>
  <c r="J369" i="1"/>
  <c r="I370" i="1"/>
  <c r="J370" i="1"/>
  <c r="J372" i="1"/>
  <c r="J373" i="1"/>
  <c r="J374" i="1"/>
  <c r="I375" i="1"/>
  <c r="J375" i="1" s="1"/>
  <c r="E1290" i="1" s="1"/>
  <c r="J377" i="1"/>
  <c r="J378" i="1"/>
  <c r="J379" i="1"/>
  <c r="I380" i="1"/>
  <c r="J380" i="1"/>
  <c r="J381" i="1"/>
  <c r="J382" i="1"/>
  <c r="I383" i="1"/>
  <c r="J383" i="1"/>
  <c r="J385" i="1"/>
  <c r="J386" i="1"/>
  <c r="J387" i="1"/>
  <c r="I388" i="1"/>
  <c r="J388" i="1"/>
  <c r="E1292" i="1" s="1"/>
  <c r="E509" i="39" s="1"/>
  <c r="J390" i="1"/>
  <c r="J391" i="1"/>
  <c r="J392" i="1"/>
  <c r="I393" i="1"/>
  <c r="J393" i="1"/>
  <c r="I395" i="1"/>
  <c r="J395" i="1"/>
  <c r="J396" i="1"/>
  <c r="J397" i="1"/>
  <c r="I398" i="1"/>
  <c r="J398" i="1"/>
  <c r="E1294" i="1" s="1"/>
  <c r="J400" i="1"/>
  <c r="F86" i="22" s="1"/>
  <c r="G86" i="22" s="1"/>
  <c r="I86" i="22" s="1"/>
  <c r="K86" i="22" s="1"/>
  <c r="J402" i="1"/>
  <c r="E832" i="36" s="1"/>
  <c r="J403" i="1"/>
  <c r="E833" i="36" s="1"/>
  <c r="J404" i="1"/>
  <c r="E834" i="36" s="1"/>
  <c r="J405" i="1"/>
  <c r="E835" i="36" s="1"/>
  <c r="I406" i="1"/>
  <c r="J406" i="1" s="1"/>
  <c r="F87" i="22" s="1"/>
  <c r="G87" i="22" s="1"/>
  <c r="I87" i="22" s="1"/>
  <c r="K87" i="22" s="1"/>
  <c r="J408" i="1"/>
  <c r="E1297" i="1" s="1"/>
  <c r="J409" i="1"/>
  <c r="F89" i="22" s="1"/>
  <c r="G89" i="22" s="1"/>
  <c r="I89" i="22" s="1"/>
  <c r="K89" i="22" s="1"/>
  <c r="J410" i="1"/>
  <c r="F90" i="22" s="1"/>
  <c r="G90" i="22" s="1"/>
  <c r="I90" i="22" s="1"/>
  <c r="K90" i="22" s="1"/>
  <c r="I411" i="1"/>
  <c r="J411" i="1" s="1"/>
  <c r="J413" i="1"/>
  <c r="F91" i="22" s="1"/>
  <c r="G91" i="22" s="1"/>
  <c r="I91" i="22" s="1"/>
  <c r="K91" i="22" s="1"/>
  <c r="K413" i="1"/>
  <c r="J414" i="1"/>
  <c r="F92" i="22" s="1"/>
  <c r="G92" i="22" s="1"/>
  <c r="I92" i="22" s="1"/>
  <c r="K92" i="22" s="1"/>
  <c r="K414" i="1"/>
  <c r="J415" i="1"/>
  <c r="F93" i="22" s="1"/>
  <c r="G93" i="22" s="1"/>
  <c r="I93" i="22" s="1"/>
  <c r="K93" i="22" s="1"/>
  <c r="J416" i="1"/>
  <c r="F94" i="22" s="1"/>
  <c r="G94" i="22" s="1"/>
  <c r="I94" i="22" s="1"/>
  <c r="K94" i="22" s="1"/>
  <c r="J417" i="1"/>
  <c r="F95" i="22" s="1"/>
  <c r="G95" i="22" s="1"/>
  <c r="I95" i="22" s="1"/>
  <c r="K95" i="22" s="1"/>
  <c r="J418" i="1"/>
  <c r="I419" i="1"/>
  <c r="J419" i="1"/>
  <c r="J421" i="1"/>
  <c r="J422" i="1"/>
  <c r="J423" i="1"/>
  <c r="J424" i="1"/>
  <c r="J425" i="1"/>
  <c r="J426" i="1"/>
  <c r="E427" i="1"/>
  <c r="F427" i="1"/>
  <c r="G427" i="1"/>
  <c r="H427" i="1"/>
  <c r="I427" i="1"/>
  <c r="J429" i="1"/>
  <c r="J430" i="1"/>
  <c r="J431" i="1"/>
  <c r="J432" i="1"/>
  <c r="J433" i="1"/>
  <c r="J434" i="1"/>
  <c r="I435" i="1"/>
  <c r="J435" i="1"/>
  <c r="J437" i="1"/>
  <c r="J438" i="1"/>
  <c r="J439" i="1"/>
  <c r="J440" i="1"/>
  <c r="J441" i="1"/>
  <c r="J442" i="1"/>
  <c r="E443" i="1"/>
  <c r="F443" i="1"/>
  <c r="E768" i="36" s="1"/>
  <c r="G443" i="1"/>
  <c r="H443" i="1"/>
  <c r="J443" i="1"/>
  <c r="J445" i="1"/>
  <c r="J446" i="1"/>
  <c r="J447" i="1"/>
  <c r="J448" i="1"/>
  <c r="J449" i="1"/>
  <c r="J450" i="1"/>
  <c r="E451" i="1"/>
  <c r="F451" i="1"/>
  <c r="G451" i="1"/>
  <c r="H451" i="1"/>
  <c r="J453" i="1"/>
  <c r="J454" i="1"/>
  <c r="E905" i="36" s="1"/>
  <c r="J455" i="1"/>
  <c r="E1313" i="1"/>
  <c r="J456" i="1"/>
  <c r="E907" i="36" s="1"/>
  <c r="I457" i="1"/>
  <c r="J457" i="1" s="1"/>
  <c r="J459" i="1"/>
  <c r="J460" i="1"/>
  <c r="J461" i="1"/>
  <c r="I462" i="1"/>
  <c r="J462" i="1"/>
  <c r="J464" i="1"/>
  <c r="F100" i="22" s="1"/>
  <c r="G100" i="22" s="1"/>
  <c r="I100" i="22" s="1"/>
  <c r="K100" i="22" s="1"/>
  <c r="J465" i="1"/>
  <c r="E1319" i="1" s="1"/>
  <c r="J466" i="1"/>
  <c r="F102" i="22" s="1"/>
  <c r="G102" i="22" s="1"/>
  <c r="I102" i="22" s="1"/>
  <c r="K102" i="22" s="1"/>
  <c r="J467" i="1"/>
  <c r="F103" i="22" s="1"/>
  <c r="G103" i="22" s="1"/>
  <c r="I103" i="22" s="1"/>
  <c r="K103" i="22" s="1"/>
  <c r="J468" i="1"/>
  <c r="F104" i="22" s="1"/>
  <c r="G104" i="22" s="1"/>
  <c r="I104" i="22" s="1"/>
  <c r="J469" i="1"/>
  <c r="F105" i="22" s="1"/>
  <c r="G105" i="22" s="1"/>
  <c r="I105" i="22" s="1"/>
  <c r="K105" i="22" s="1"/>
  <c r="J470" i="1"/>
  <c r="F106" i="22" s="1"/>
  <c r="G106" i="22" s="1"/>
  <c r="I106" i="22" s="1"/>
  <c r="K106" i="22" s="1"/>
  <c r="J471" i="1"/>
  <c r="F107" i="22" s="1"/>
  <c r="G107" i="22" s="1"/>
  <c r="I107" i="22" s="1"/>
  <c r="K107" i="22" s="1"/>
  <c r="E472" i="1"/>
  <c r="F472" i="1"/>
  <c r="G472" i="1"/>
  <c r="H472" i="1"/>
  <c r="I472" i="1"/>
  <c r="J481" i="1"/>
  <c r="J482" i="1"/>
  <c r="F1244" i="1" s="1"/>
  <c r="E486" i="39" s="1"/>
  <c r="J483" i="1"/>
  <c r="F1245" i="1" s="1"/>
  <c r="E488" i="39" s="1"/>
  <c r="J484" i="1"/>
  <c r="F1246" i="1" s="1"/>
  <c r="E490" i="39" s="1"/>
  <c r="J485" i="1"/>
  <c r="J486" i="1"/>
  <c r="J489" i="1"/>
  <c r="J490" i="1"/>
  <c r="E808" i="36" s="1"/>
  <c r="K490" i="1"/>
  <c r="J491" i="1"/>
  <c r="J492" i="1"/>
  <c r="J493" i="1"/>
  <c r="F1286" i="1" s="1"/>
  <c r="E498" i="39" s="1"/>
  <c r="J494" i="1"/>
  <c r="J495" i="1"/>
  <c r="J496" i="1"/>
  <c r="J497" i="1"/>
  <c r="J498" i="1"/>
  <c r="J499" i="1"/>
  <c r="J500" i="1"/>
  <c r="J501" i="1"/>
  <c r="F1294" i="1" s="1"/>
  <c r="E514" i="39" s="1"/>
  <c r="J502" i="1"/>
  <c r="F114" i="22" s="1"/>
  <c r="G114" i="22" s="1"/>
  <c r="I114" i="22" s="1"/>
  <c r="K114" i="22" s="1"/>
  <c r="J504" i="1"/>
  <c r="E837" i="36" s="1"/>
  <c r="J505" i="1"/>
  <c r="E838" i="36" s="1"/>
  <c r="J506" i="1"/>
  <c r="E839" i="36" s="1"/>
  <c r="J507" i="1"/>
  <c r="E840" i="36" s="1"/>
  <c r="I508" i="1"/>
  <c r="J508" i="1"/>
  <c r="F115" i="22" s="1"/>
  <c r="G115" i="22" s="1"/>
  <c r="I115" i="22" s="1"/>
  <c r="K115" i="22" s="1"/>
  <c r="F1296" i="1"/>
  <c r="J509" i="1"/>
  <c r="F116" i="22" s="1"/>
  <c r="G116" i="22" s="1"/>
  <c r="I116" i="22" s="1"/>
  <c r="K116" i="22" s="1"/>
  <c r="J510" i="1"/>
  <c r="J511" i="1"/>
  <c r="J512" i="1"/>
  <c r="F1300" i="1" s="1"/>
  <c r="E532" i="39" s="1"/>
  <c r="K512" i="1"/>
  <c r="J513" i="1"/>
  <c r="K513" i="1"/>
  <c r="J514" i="1"/>
  <c r="J515" i="1"/>
  <c r="F120" i="22" s="1"/>
  <c r="G120" i="22" s="1"/>
  <c r="I120" i="22" s="1"/>
  <c r="K120" i="22" s="1"/>
  <c r="J516" i="1"/>
  <c r="F121" i="22" s="1"/>
  <c r="G121" i="22" s="1"/>
  <c r="I121" i="22" s="1"/>
  <c r="K121" i="22" s="1"/>
  <c r="J517" i="1"/>
  <c r="J518" i="1"/>
  <c r="J519" i="1"/>
  <c r="E809" i="36" s="1"/>
  <c r="J520" i="1"/>
  <c r="F122" i="22" s="1"/>
  <c r="G122" i="22" s="1"/>
  <c r="I122" i="22" s="1"/>
  <c r="K122" i="22" s="1"/>
  <c r="J521" i="1"/>
  <c r="J522" i="1"/>
  <c r="F1313" i="1" s="1"/>
  <c r="J523" i="1"/>
  <c r="J524" i="1"/>
  <c r="F123" i="22" s="1"/>
  <c r="G123" i="22" s="1"/>
  <c r="I123" i="22" s="1"/>
  <c r="K123" i="22" s="1"/>
  <c r="J525" i="1"/>
  <c r="F124" i="22" s="1"/>
  <c r="G124" i="22" s="1"/>
  <c r="I124" i="22" s="1"/>
  <c r="K124" i="22" s="1"/>
  <c r="J526" i="1"/>
  <c r="F125" i="22" s="1"/>
  <c r="G125" i="22" s="1"/>
  <c r="I125" i="22" s="1"/>
  <c r="K125" i="22" s="1"/>
  <c r="J528" i="1"/>
  <c r="F126" i="22" s="1"/>
  <c r="G126" i="22" s="1"/>
  <c r="I126" i="22" s="1"/>
  <c r="K126" i="22" s="1"/>
  <c r="K528" i="1"/>
  <c r="J529" i="1"/>
  <c r="F127" i="22" s="1"/>
  <c r="G127" i="22" s="1"/>
  <c r="I127" i="22" s="1"/>
  <c r="K127" i="22" s="1"/>
  <c r="J530" i="1"/>
  <c r="F128" i="22" s="1"/>
  <c r="G128" i="22" s="1"/>
  <c r="I128" i="22" s="1"/>
  <c r="K128" i="22" s="1"/>
  <c r="J531" i="1"/>
  <c r="F129" i="22" s="1"/>
  <c r="G129" i="22" s="1"/>
  <c r="I129" i="22" s="1"/>
  <c r="K129" i="22" s="1"/>
  <c r="J532" i="1"/>
  <c r="F130" i="22" s="1"/>
  <c r="G130" i="22" s="1"/>
  <c r="I130" i="22" s="1"/>
  <c r="J533" i="1"/>
  <c r="F131" i="22" s="1"/>
  <c r="G131" i="22" s="1"/>
  <c r="I131" i="22" s="1"/>
  <c r="K131" i="22" s="1"/>
  <c r="J534" i="1"/>
  <c r="F132" i="22" s="1"/>
  <c r="G132" i="22" s="1"/>
  <c r="I132" i="22" s="1"/>
  <c r="K132" i="22" s="1"/>
  <c r="J535" i="1"/>
  <c r="F133" i="22" s="1"/>
  <c r="G133" i="22" s="1"/>
  <c r="I133" i="22" s="1"/>
  <c r="K133" i="22" s="1"/>
  <c r="J536" i="1"/>
  <c r="E537" i="1"/>
  <c r="F537" i="1"/>
  <c r="G537" i="1"/>
  <c r="H537" i="1"/>
  <c r="I537" i="1"/>
  <c r="F538" i="1"/>
  <c r="E567" i="39" s="1"/>
  <c r="G538" i="1"/>
  <c r="H538" i="1"/>
  <c r="E929" i="36" s="1"/>
  <c r="A929" i="36" s="1"/>
  <c r="E547" i="1"/>
  <c r="F547" i="1"/>
  <c r="G547" i="1"/>
  <c r="H547" i="1"/>
  <c r="E180" i="36" s="1"/>
  <c r="I547" i="1"/>
  <c r="E266" i="36" s="1"/>
  <c r="J547" i="1"/>
  <c r="E548" i="1"/>
  <c r="F548" i="1"/>
  <c r="G548" i="1"/>
  <c r="H548" i="1"/>
  <c r="E181" i="36" s="1"/>
  <c r="I548" i="1"/>
  <c r="E267" i="36" s="1"/>
  <c r="J548" i="1"/>
  <c r="E353" i="36" s="1"/>
  <c r="E549" i="1"/>
  <c r="F549" i="1"/>
  <c r="G549" i="1"/>
  <c r="H549" i="1"/>
  <c r="E182" i="36" s="1"/>
  <c r="I549" i="1"/>
  <c r="E268" i="36" s="1"/>
  <c r="J549" i="1"/>
  <c r="E354" i="36" s="1"/>
  <c r="E550" i="1"/>
  <c r="F550" i="1"/>
  <c r="G550" i="1"/>
  <c r="H550" i="1"/>
  <c r="E183" i="36" s="1"/>
  <c r="I550" i="1"/>
  <c r="E269" i="36" s="1"/>
  <c r="J550" i="1"/>
  <c r="E355" i="36" s="1"/>
  <c r="E551" i="1"/>
  <c r="F551" i="1"/>
  <c r="G551" i="1"/>
  <c r="H551" i="1"/>
  <c r="E184" i="36" s="1"/>
  <c r="I551" i="1"/>
  <c r="E270" i="36" s="1"/>
  <c r="J551" i="1"/>
  <c r="E552" i="1"/>
  <c r="F552" i="1"/>
  <c r="G552" i="1"/>
  <c r="H552" i="1"/>
  <c r="E185" i="36" s="1"/>
  <c r="I552" i="1"/>
  <c r="E271" i="36" s="1"/>
  <c r="J552" i="1"/>
  <c r="E357" i="36" s="1"/>
  <c r="Q552" i="1"/>
  <c r="E553" i="1"/>
  <c r="F553" i="1"/>
  <c r="G553" i="1"/>
  <c r="H553" i="1"/>
  <c r="E186" i="36" s="1"/>
  <c r="I553" i="1"/>
  <c r="E272" i="36" s="1"/>
  <c r="J553" i="1"/>
  <c r="E358" i="36" s="1"/>
  <c r="E554" i="1"/>
  <c r="F554" i="1"/>
  <c r="G554" i="1"/>
  <c r="H554" i="1"/>
  <c r="E187" i="36" s="1"/>
  <c r="I554" i="1"/>
  <c r="E273" i="36" s="1"/>
  <c r="J554" i="1"/>
  <c r="E359" i="36" s="1"/>
  <c r="E555" i="1"/>
  <c r="F555" i="1"/>
  <c r="G555" i="1"/>
  <c r="H555" i="1"/>
  <c r="E188" i="36" s="1"/>
  <c r="I555" i="1"/>
  <c r="E274" i="36" s="1"/>
  <c r="J555" i="1"/>
  <c r="E360" i="36" s="1"/>
  <c r="E587" i="1"/>
  <c r="F587" i="1"/>
  <c r="G587" i="1"/>
  <c r="H587" i="1"/>
  <c r="E217" i="36" s="1"/>
  <c r="I587" i="1"/>
  <c r="J587" i="1"/>
  <c r="E389" i="36" s="1"/>
  <c r="E588" i="1"/>
  <c r="F588" i="1"/>
  <c r="G588" i="1"/>
  <c r="H588" i="1"/>
  <c r="E218" i="36" s="1"/>
  <c r="I588" i="1"/>
  <c r="E304" i="36" s="1"/>
  <c r="J588" i="1"/>
  <c r="E589" i="1"/>
  <c r="F589" i="1"/>
  <c r="G589" i="1"/>
  <c r="H589" i="1"/>
  <c r="E219" i="36" s="1"/>
  <c r="I589" i="1"/>
  <c r="E305" i="36" s="1"/>
  <c r="J589" i="1"/>
  <c r="E391" i="36" s="1"/>
  <c r="E590" i="1"/>
  <c r="F590" i="1"/>
  <c r="G590" i="1"/>
  <c r="H590" i="1"/>
  <c r="E220" i="36" s="1"/>
  <c r="I590" i="1"/>
  <c r="E306" i="36" s="1"/>
  <c r="J590" i="1"/>
  <c r="E392" i="36" s="1"/>
  <c r="E591" i="1"/>
  <c r="F591" i="1"/>
  <c r="G591" i="1"/>
  <c r="H591" i="1"/>
  <c r="E221" i="36" s="1"/>
  <c r="I591" i="1"/>
  <c r="J591" i="1"/>
  <c r="E393" i="36" s="1"/>
  <c r="E592" i="1"/>
  <c r="F592" i="1"/>
  <c r="G592" i="1"/>
  <c r="H592" i="1"/>
  <c r="I592" i="1"/>
  <c r="E308" i="36" s="1"/>
  <c r="J592" i="1"/>
  <c r="H1283" i="1" s="1"/>
  <c r="Q592" i="1"/>
  <c r="E593" i="1"/>
  <c r="F593" i="1"/>
  <c r="G593" i="1"/>
  <c r="H593" i="1"/>
  <c r="E223" i="36" s="1"/>
  <c r="I593" i="1"/>
  <c r="E309" i="36" s="1"/>
  <c r="J593" i="1"/>
  <c r="E395" i="36" s="1"/>
  <c r="E594" i="1"/>
  <c r="F594" i="1"/>
  <c r="G594" i="1"/>
  <c r="H594" i="1"/>
  <c r="E224" i="36" s="1"/>
  <c r="I594" i="1"/>
  <c r="E310" i="36" s="1"/>
  <c r="J594" i="1"/>
  <c r="E595" i="1"/>
  <c r="F595" i="1"/>
  <c r="G595" i="1"/>
  <c r="H595" i="1"/>
  <c r="E225" i="36" s="1"/>
  <c r="I595" i="1"/>
  <c r="J595" i="1"/>
  <c r="E397" i="36" s="1"/>
  <c r="E596" i="1"/>
  <c r="F596" i="1"/>
  <c r="G596" i="1"/>
  <c r="H596" i="1"/>
  <c r="E226" i="36" s="1"/>
  <c r="I596" i="1"/>
  <c r="J596" i="1"/>
  <c r="E398" i="36" s="1"/>
  <c r="E597" i="1"/>
  <c r="F597" i="1"/>
  <c r="G597" i="1"/>
  <c r="H597" i="1"/>
  <c r="E227" i="36" s="1"/>
  <c r="I597" i="1"/>
  <c r="E313" i="36" s="1"/>
  <c r="J597" i="1"/>
  <c r="E598" i="1"/>
  <c r="F598" i="1"/>
  <c r="G598" i="1"/>
  <c r="H598" i="1"/>
  <c r="E228" i="36" s="1"/>
  <c r="I598" i="1"/>
  <c r="E314" i="36" s="1"/>
  <c r="J598" i="1"/>
  <c r="E400" i="36" s="1"/>
  <c r="E599" i="1"/>
  <c r="F599" i="1"/>
  <c r="G599" i="1"/>
  <c r="H599" i="1"/>
  <c r="E229" i="36" s="1"/>
  <c r="I599" i="1"/>
  <c r="E315" i="36" s="1"/>
  <c r="J599" i="1"/>
  <c r="E401" i="36" s="1"/>
  <c r="E600" i="1"/>
  <c r="F600" i="1"/>
  <c r="G600" i="1"/>
  <c r="H600" i="1"/>
  <c r="E230" i="36" s="1"/>
  <c r="I600" i="1"/>
  <c r="E316" i="36" s="1"/>
  <c r="J600" i="1"/>
  <c r="E402" i="36" s="1"/>
  <c r="Q600" i="1"/>
  <c r="E601" i="1"/>
  <c r="F601" i="1"/>
  <c r="G601" i="1"/>
  <c r="H601" i="1"/>
  <c r="E231" i="36" s="1"/>
  <c r="I601" i="1"/>
  <c r="E317" i="36" s="1"/>
  <c r="J601" i="1"/>
  <c r="E403" i="36" s="1"/>
  <c r="E602" i="1"/>
  <c r="F602" i="1"/>
  <c r="G602" i="1"/>
  <c r="H602" i="1"/>
  <c r="E232" i="36" s="1"/>
  <c r="I602" i="1"/>
  <c r="J602" i="1"/>
  <c r="E404" i="36" s="1"/>
  <c r="E603" i="1"/>
  <c r="F603" i="1"/>
  <c r="G603" i="1"/>
  <c r="H603" i="1"/>
  <c r="I603" i="1"/>
  <c r="E319" i="36" s="1"/>
  <c r="J603" i="1"/>
  <c r="E405" i="36" s="1"/>
  <c r="E604" i="1"/>
  <c r="F604" i="1"/>
  <c r="G604" i="1"/>
  <c r="H604" i="1"/>
  <c r="E234" i="36" s="1"/>
  <c r="I604" i="1"/>
  <c r="E320" i="36" s="1"/>
  <c r="J604" i="1"/>
  <c r="E406" i="36" s="1"/>
  <c r="Q604" i="1"/>
  <c r="E605" i="1"/>
  <c r="F605" i="1"/>
  <c r="G605" i="1"/>
  <c r="H605" i="1"/>
  <c r="E235" i="36" s="1"/>
  <c r="I605" i="1"/>
  <c r="E321" i="36" s="1"/>
  <c r="J605" i="1"/>
  <c r="E606" i="1"/>
  <c r="F606" i="1"/>
  <c r="G606" i="1"/>
  <c r="H606" i="1"/>
  <c r="E236" i="36" s="1"/>
  <c r="I606" i="1"/>
  <c r="E322" i="36" s="1"/>
  <c r="J606" i="1"/>
  <c r="E408" i="36" s="1"/>
  <c r="Q606" i="1"/>
  <c r="E607" i="1"/>
  <c r="F607" i="1"/>
  <c r="G607" i="1"/>
  <c r="H607" i="1"/>
  <c r="E237" i="36" s="1"/>
  <c r="I607" i="1"/>
  <c r="E323" i="36" s="1"/>
  <c r="J607" i="1"/>
  <c r="E409" i="36" s="1"/>
  <c r="E608" i="1"/>
  <c r="F608" i="1"/>
  <c r="G608" i="1"/>
  <c r="H608" i="1"/>
  <c r="E238" i="36" s="1"/>
  <c r="I608" i="1"/>
  <c r="E324" i="36" s="1"/>
  <c r="J608" i="1"/>
  <c r="E410" i="36" s="1"/>
  <c r="E609" i="1"/>
  <c r="F609" i="1"/>
  <c r="G609" i="1"/>
  <c r="H609" i="1"/>
  <c r="E239" i="36" s="1"/>
  <c r="I609" i="1"/>
  <c r="E325" i="36" s="1"/>
  <c r="J609" i="1"/>
  <c r="E411" i="36" s="1"/>
  <c r="E610" i="1"/>
  <c r="F610" i="1"/>
  <c r="G610" i="1"/>
  <c r="H610" i="1"/>
  <c r="I610" i="1"/>
  <c r="E326" i="36" s="1"/>
  <c r="J610" i="1"/>
  <c r="E412" i="36" s="1"/>
  <c r="Q610" i="1"/>
  <c r="E611" i="1"/>
  <c r="F611" i="1"/>
  <c r="G611" i="1"/>
  <c r="H611" i="1"/>
  <c r="E241" i="36" s="1"/>
  <c r="I611" i="1"/>
  <c r="J611" i="1"/>
  <c r="E413" i="36" s="1"/>
  <c r="E612" i="1"/>
  <c r="F612" i="1"/>
  <c r="G612" i="1"/>
  <c r="H612" i="1"/>
  <c r="E242" i="36" s="1"/>
  <c r="I612" i="1"/>
  <c r="E328" i="36" s="1"/>
  <c r="J612" i="1"/>
  <c r="E414" i="36" s="1"/>
  <c r="Q612" i="1"/>
  <c r="E613" i="1"/>
  <c r="F613" i="1"/>
  <c r="G613" i="1"/>
  <c r="H613" i="1"/>
  <c r="E243" i="36" s="1"/>
  <c r="I613" i="1"/>
  <c r="E329" i="36" s="1"/>
  <c r="J613" i="1"/>
  <c r="E415" i="36" s="1"/>
  <c r="E614" i="1"/>
  <c r="F614" i="1"/>
  <c r="G614" i="1"/>
  <c r="H614" i="1"/>
  <c r="E244" i="36" s="1"/>
  <c r="I614" i="1"/>
  <c r="E330" i="36" s="1"/>
  <c r="J614" i="1"/>
  <c r="E416" i="36" s="1"/>
  <c r="E615" i="1"/>
  <c r="F615" i="1"/>
  <c r="G615" i="1"/>
  <c r="H615" i="1"/>
  <c r="E245" i="36" s="1"/>
  <c r="I615" i="1"/>
  <c r="E331" i="36" s="1"/>
  <c r="J615" i="1"/>
  <c r="E417" i="36" s="1"/>
  <c r="E616" i="1"/>
  <c r="F616" i="1"/>
  <c r="G616" i="1"/>
  <c r="H616" i="1"/>
  <c r="E246" i="36" s="1"/>
  <c r="I616" i="1"/>
  <c r="E332" i="36" s="1"/>
  <c r="J616" i="1"/>
  <c r="E418" i="36" s="1"/>
  <c r="E617" i="1"/>
  <c r="F617" i="1"/>
  <c r="G617" i="1"/>
  <c r="E161" i="36" s="1"/>
  <c r="H617" i="1"/>
  <c r="E247" i="36" s="1"/>
  <c r="I617" i="1"/>
  <c r="J617" i="1"/>
  <c r="E419" i="36" s="1"/>
  <c r="E618" i="1"/>
  <c r="F618" i="1"/>
  <c r="G618" i="1"/>
  <c r="H618" i="1"/>
  <c r="E248" i="36" s="1"/>
  <c r="I618" i="1"/>
  <c r="J618" i="1"/>
  <c r="E420" i="36" s="1"/>
  <c r="E619" i="1"/>
  <c r="F619" i="1"/>
  <c r="G619" i="1"/>
  <c r="H619" i="1"/>
  <c r="E249" i="36" s="1"/>
  <c r="I619" i="1"/>
  <c r="J619" i="1"/>
  <c r="E421" i="36" s="1"/>
  <c r="Q619" i="1"/>
  <c r="E812" i="36" s="1"/>
  <c r="E620" i="1"/>
  <c r="F620" i="1"/>
  <c r="G620" i="1"/>
  <c r="H620" i="1"/>
  <c r="E250" i="36" s="1"/>
  <c r="I620" i="1"/>
  <c r="E336" i="36" s="1"/>
  <c r="J620" i="1"/>
  <c r="E422" i="36" s="1"/>
  <c r="Q620" i="1"/>
  <c r="E621" i="1"/>
  <c r="F621" i="1"/>
  <c r="G621" i="1"/>
  <c r="H621" i="1"/>
  <c r="E251" i="36" s="1"/>
  <c r="I621" i="1"/>
  <c r="E337" i="36" s="1"/>
  <c r="J621" i="1"/>
  <c r="E423" i="36" s="1"/>
  <c r="E622" i="1"/>
  <c r="F622" i="1"/>
  <c r="G622" i="1"/>
  <c r="H622" i="1"/>
  <c r="E252" i="36" s="1"/>
  <c r="I622" i="1"/>
  <c r="E338" i="36" s="1"/>
  <c r="J622" i="1"/>
  <c r="E424" i="36" s="1"/>
  <c r="E623" i="1"/>
  <c r="F623" i="1"/>
  <c r="G623" i="1"/>
  <c r="H623" i="1"/>
  <c r="E253" i="36" s="1"/>
  <c r="I623" i="1"/>
  <c r="E339" i="36" s="1"/>
  <c r="J623" i="1"/>
  <c r="E425" i="36" s="1"/>
  <c r="E624" i="1"/>
  <c r="F624" i="1"/>
  <c r="G624" i="1"/>
  <c r="H624" i="1"/>
  <c r="E254" i="36" s="1"/>
  <c r="I624" i="1"/>
  <c r="J624" i="1"/>
  <c r="E426" i="36" s="1"/>
  <c r="E625" i="1"/>
  <c r="F625" i="1"/>
  <c r="G625" i="1"/>
  <c r="H625" i="1"/>
  <c r="E255" i="36" s="1"/>
  <c r="I625" i="1"/>
  <c r="E341" i="36" s="1"/>
  <c r="J625" i="1"/>
  <c r="Q625" i="1"/>
  <c r="E626" i="1"/>
  <c r="F626" i="1"/>
  <c r="G626" i="1"/>
  <c r="H626" i="1"/>
  <c r="E256" i="36" s="1"/>
  <c r="I626" i="1"/>
  <c r="E342" i="36" s="1"/>
  <c r="E627" i="1"/>
  <c r="F627" i="1"/>
  <c r="G627" i="1"/>
  <c r="H627" i="1"/>
  <c r="E257" i="36" s="1"/>
  <c r="I627" i="1"/>
  <c r="E343" i="36" s="1"/>
  <c r="J627" i="1"/>
  <c r="E429" i="36" s="1"/>
  <c r="E628" i="1"/>
  <c r="F628" i="1"/>
  <c r="G628" i="1"/>
  <c r="H628" i="1"/>
  <c r="E258" i="36" s="1"/>
  <c r="I628" i="1"/>
  <c r="E344" i="36" s="1"/>
  <c r="J628" i="1"/>
  <c r="E430" i="36" s="1"/>
  <c r="E629" i="1"/>
  <c r="F629" i="1"/>
  <c r="G629" i="1"/>
  <c r="H629" i="1"/>
  <c r="E259" i="36" s="1"/>
  <c r="I629" i="1"/>
  <c r="E345" i="36" s="1"/>
  <c r="J629" i="1"/>
  <c r="E431" i="36" s="1"/>
  <c r="E630" i="1"/>
  <c r="F630" i="1"/>
  <c r="G630" i="1"/>
  <c r="H630" i="1"/>
  <c r="E260" i="36" s="1"/>
  <c r="I630" i="1"/>
  <c r="E346" i="36" s="1"/>
  <c r="J630" i="1"/>
  <c r="H1324" i="1" s="1"/>
  <c r="E631" i="1"/>
  <c r="F631" i="1"/>
  <c r="G631" i="1"/>
  <c r="H631" i="1"/>
  <c r="E261" i="36" s="1"/>
  <c r="I631" i="1"/>
  <c r="E347" i="36" s="1"/>
  <c r="J631" i="1"/>
  <c r="E433" i="36" s="1"/>
  <c r="N632" i="1"/>
  <c r="F144" i="22" s="1"/>
  <c r="G144" i="22" s="1"/>
  <c r="I144" i="22" s="1"/>
  <c r="K144" i="22" s="1"/>
  <c r="O632" i="1"/>
  <c r="F145" i="22" s="1"/>
  <c r="G145" i="22" s="1"/>
  <c r="I145" i="22" s="1"/>
  <c r="K145" i="22" s="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F667" i="1"/>
  <c r="G667" i="1"/>
  <c r="H667" i="1"/>
  <c r="I667" i="1"/>
  <c r="I905" i="36" s="1"/>
  <c r="J667" i="1"/>
  <c r="K667" i="1"/>
  <c r="P848" i="1"/>
  <c r="P856" i="1"/>
  <c r="P864" i="1"/>
  <c r="P872" i="1"/>
  <c r="P877" i="1"/>
  <c r="P879" i="1"/>
  <c r="P887" i="1"/>
  <c r="P892" i="1"/>
  <c r="P896" i="1"/>
  <c r="P900" i="1"/>
  <c r="P905" i="1"/>
  <c r="P910" i="1"/>
  <c r="P918" i="1"/>
  <c r="P924" i="1"/>
  <c r="P926" i="1"/>
  <c r="P932" i="1"/>
  <c r="P937" i="1"/>
  <c r="P939" i="1"/>
  <c r="P944" i="1"/>
  <c r="P949" i="1"/>
  <c r="P951" i="1"/>
  <c r="P957" i="1"/>
  <c r="P962" i="1"/>
  <c r="P967" i="1"/>
  <c r="P972" i="1"/>
  <c r="P980" i="1"/>
  <c r="P988" i="1"/>
  <c r="M1006" i="1"/>
  <c r="I762" i="36" s="1"/>
  <c r="M1007" i="1"/>
  <c r="I763" i="36" s="1"/>
  <c r="M1008" i="1"/>
  <c r="I764" i="36" s="1"/>
  <c r="M1009" i="1"/>
  <c r="I765" i="36" s="1"/>
  <c r="M1010" i="1"/>
  <c r="I766" i="36" s="1"/>
  <c r="M1011" i="1"/>
  <c r="I767" i="36" s="1"/>
  <c r="E1012" i="1"/>
  <c r="F1012" i="1"/>
  <c r="G1012" i="1"/>
  <c r="H1012" i="1"/>
  <c r="I1012" i="1"/>
  <c r="J1012" i="1"/>
  <c r="K1012" i="1"/>
  <c r="L1012" i="1"/>
  <c r="E898" i="36" s="1"/>
  <c r="M1013" i="1"/>
  <c r="I768" i="36" s="1"/>
  <c r="M1015" i="1"/>
  <c r="I772" i="36" s="1"/>
  <c r="M1016" i="1"/>
  <c r="I775" i="36" s="1"/>
  <c r="M1017" i="1"/>
  <c r="I778" i="36" s="1"/>
  <c r="M1018" i="1"/>
  <c r="I782" i="36" s="1"/>
  <c r="M1019" i="1"/>
  <c r="I786" i="36" s="1"/>
  <c r="M1020" i="1"/>
  <c r="I790" i="36" s="1"/>
  <c r="M1021" i="1"/>
  <c r="I794" i="36" s="1"/>
  <c r="E1022" i="1"/>
  <c r="F1022" i="1"/>
  <c r="G1022" i="1"/>
  <c r="H1022" i="1"/>
  <c r="I1022" i="1"/>
  <c r="J1022" i="1"/>
  <c r="K1022" i="1"/>
  <c r="K1024" i="1" s="1"/>
  <c r="L1022" i="1"/>
  <c r="M1023" i="1"/>
  <c r="E815" i="36" s="1"/>
  <c r="A815" i="36" s="1"/>
  <c r="E1024" i="1"/>
  <c r="G1024" i="1"/>
  <c r="I1036" i="1"/>
  <c r="M1036" i="1"/>
  <c r="I1037" i="1"/>
  <c r="M1037" i="1"/>
  <c r="I1038" i="1"/>
  <c r="M1038" i="1"/>
  <c r="F1039" i="1"/>
  <c r="H1039" i="1"/>
  <c r="I1039" i="1"/>
  <c r="K1039" i="1"/>
  <c r="I1043" i="1"/>
  <c r="M1043" i="1"/>
  <c r="I1044" i="1"/>
  <c r="M1044" i="1"/>
  <c r="I1045" i="1"/>
  <c r="M1045" i="1"/>
  <c r="I1046" i="1"/>
  <c r="M1046" i="1"/>
  <c r="I1047" i="1"/>
  <c r="M1047" i="1"/>
  <c r="I1048" i="1"/>
  <c r="M1048" i="1"/>
  <c r="I1049" i="1"/>
  <c r="M1049" i="1"/>
  <c r="E1050" i="1"/>
  <c r="F1050" i="1"/>
  <c r="H1050" i="1"/>
  <c r="J1050" i="1"/>
  <c r="K1050" i="1"/>
  <c r="I1058" i="1"/>
  <c r="M1058" i="1"/>
  <c r="I1059" i="1"/>
  <c r="F183" i="22" s="1"/>
  <c r="G183" i="22" s="1"/>
  <c r="I183" i="22" s="1"/>
  <c r="K183" i="22" s="1"/>
  <c r="M1059" i="1"/>
  <c r="I1067" i="1"/>
  <c r="M1067" i="1"/>
  <c r="I1068" i="1"/>
  <c r="M1068" i="1"/>
  <c r="I1077" i="1"/>
  <c r="M1077" i="1"/>
  <c r="I1078" i="1"/>
  <c r="M1078" i="1"/>
  <c r="I1079" i="1"/>
  <c r="M1079" i="1"/>
  <c r="I1080" i="1"/>
  <c r="M1080" i="1"/>
  <c r="I1081" i="1"/>
  <c r="M1081" i="1"/>
  <c r="I1082" i="1"/>
  <c r="M1082" i="1"/>
  <c r="I1083" i="1"/>
  <c r="M1083" i="1"/>
  <c r="G1085" i="1"/>
  <c r="I808" i="36"/>
  <c r="H1085" i="1"/>
  <c r="L1085" i="1"/>
  <c r="I1087" i="1"/>
  <c r="F185" i="22" s="1"/>
  <c r="G185" i="22" s="1"/>
  <c r="O1087" i="1"/>
  <c r="I1088" i="1"/>
  <c r="I26" i="36" s="1"/>
  <c r="M1088" i="1"/>
  <c r="O1088" i="1"/>
  <c r="I1099" i="1"/>
  <c r="E1100" i="1"/>
  <c r="F1100" i="1"/>
  <c r="C41" i="22" s="1"/>
  <c r="J1100" i="1"/>
  <c r="F194" i="22" s="1"/>
  <c r="G194" i="22" s="1"/>
  <c r="I194" i="22" s="1"/>
  <c r="K194" i="22" s="1"/>
  <c r="I1101" i="1"/>
  <c r="J1101" i="1"/>
  <c r="C42" i="22" s="1"/>
  <c r="J1102" i="1"/>
  <c r="F195" i="22" s="1"/>
  <c r="G195" i="22" s="1"/>
  <c r="I195" i="22" s="1"/>
  <c r="K195" i="22" s="1"/>
  <c r="J1103" i="1"/>
  <c r="C43" i="22" s="1"/>
  <c r="E43" i="22" s="1"/>
  <c r="J1104" i="1"/>
  <c r="J1105" i="1"/>
  <c r="I1106" i="1"/>
  <c r="J1106" i="1"/>
  <c r="J1107" i="1"/>
  <c r="F197" i="22" s="1"/>
  <c r="G197" i="22" s="1"/>
  <c r="I197" i="22" s="1"/>
  <c r="K197" i="22" s="1"/>
  <c r="J1108" i="1"/>
  <c r="J1109" i="1"/>
  <c r="F199" i="22" s="1"/>
  <c r="G199" i="22" s="1"/>
  <c r="I199" i="22" s="1"/>
  <c r="K199" i="22" s="1"/>
  <c r="I1110" i="1"/>
  <c r="J1110" i="1" s="1"/>
  <c r="J1111" i="1"/>
  <c r="F201" i="22" s="1"/>
  <c r="G201" i="22" s="1"/>
  <c r="I201" i="22" s="1"/>
  <c r="K201" i="22" s="1"/>
  <c r="J1112" i="1"/>
  <c r="F202" i="22" s="1"/>
  <c r="G202" i="22" s="1"/>
  <c r="I202" i="22" s="1"/>
  <c r="K202" i="22" s="1"/>
  <c r="J1113" i="1"/>
  <c r="J1114" i="1"/>
  <c r="F204" i="22" s="1"/>
  <c r="G204" i="22" s="1"/>
  <c r="I204" i="22" s="1"/>
  <c r="K204" i="22" s="1"/>
  <c r="J1115" i="1"/>
  <c r="F205" i="22" s="1"/>
  <c r="G205" i="22" s="1"/>
  <c r="I205" i="22" s="1"/>
  <c r="K205" i="22" s="1"/>
  <c r="J1116" i="1"/>
  <c r="F206" i="22" s="1"/>
  <c r="G206" i="22" s="1"/>
  <c r="I206" i="22" s="1"/>
  <c r="K206" i="22" s="1"/>
  <c r="J1117" i="1"/>
  <c r="J1118" i="1"/>
  <c r="J1119" i="1"/>
  <c r="J1120" i="1"/>
  <c r="J1121" i="1"/>
  <c r="J1122" i="1"/>
  <c r="J1123" i="1"/>
  <c r="J1124" i="1"/>
  <c r="F211" i="22" s="1"/>
  <c r="G211" i="22" s="1"/>
  <c r="I211" i="22" s="1"/>
  <c r="K211" i="22" s="1"/>
  <c r="J1125" i="1"/>
  <c r="F212" i="22" s="1"/>
  <c r="G212" i="22" s="1"/>
  <c r="I212" i="22" s="1"/>
  <c r="K212" i="22" s="1"/>
  <c r="J1126" i="1"/>
  <c r="F213" i="22" s="1"/>
  <c r="G213" i="22" s="1"/>
  <c r="I213" i="22" s="1"/>
  <c r="K213" i="22" s="1"/>
  <c r="J1127" i="1"/>
  <c r="F214" i="22" s="1"/>
  <c r="G214" i="22" s="1"/>
  <c r="I214" i="22" s="1"/>
  <c r="K214" i="22" s="1"/>
  <c r="J1128" i="1"/>
  <c r="F215" i="22" s="1"/>
  <c r="G215" i="22" s="1"/>
  <c r="I215" i="22" s="1"/>
  <c r="K215" i="22" s="1"/>
  <c r="J1129" i="1"/>
  <c r="F216" i="22" s="1"/>
  <c r="G216" i="22" s="1"/>
  <c r="I216" i="22" s="1"/>
  <c r="K216" i="22" s="1"/>
  <c r="J1130" i="1"/>
  <c r="F217" i="22" s="1"/>
  <c r="G217" i="22" s="1"/>
  <c r="I217" i="22" s="1"/>
  <c r="K217" i="22" s="1"/>
  <c r="J1131" i="1"/>
  <c r="F218" i="22" s="1"/>
  <c r="G218" i="22" s="1"/>
  <c r="I218" i="22" s="1"/>
  <c r="K218" i="22" s="1"/>
  <c r="E1132" i="1"/>
  <c r="F1132" i="1"/>
  <c r="G1132" i="1"/>
  <c r="H1132" i="1"/>
  <c r="J1144" i="1"/>
  <c r="F225" i="22" s="1"/>
  <c r="G225" i="22" s="1"/>
  <c r="I225" i="22" s="1"/>
  <c r="K225" i="22" s="1"/>
  <c r="J1145" i="1"/>
  <c r="J1146" i="1"/>
  <c r="D42" i="22" s="1"/>
  <c r="J1147" i="1"/>
  <c r="F227" i="22" s="1"/>
  <c r="G227" i="22" s="1"/>
  <c r="I227" i="22" s="1"/>
  <c r="K227" i="22" s="1"/>
  <c r="J1148" i="1"/>
  <c r="D44" i="22" s="1"/>
  <c r="J1149" i="1"/>
  <c r="F228" i="22" s="1"/>
  <c r="G228" i="22" s="1"/>
  <c r="I228" i="22" s="1"/>
  <c r="K228" i="22" s="1"/>
  <c r="J1150" i="1"/>
  <c r="F229" i="22" s="1"/>
  <c r="G229" i="22" s="1"/>
  <c r="I229" i="22" s="1"/>
  <c r="K229" i="22" s="1"/>
  <c r="J1151" i="1"/>
  <c r="F230" i="22" s="1"/>
  <c r="G230" i="22" s="1"/>
  <c r="I230" i="22" s="1"/>
  <c r="K230" i="22" s="1"/>
  <c r="J1153" i="1"/>
  <c r="F232" i="22" s="1"/>
  <c r="G232" i="22" s="1"/>
  <c r="I232" i="22" s="1"/>
  <c r="K232" i="22" s="1"/>
  <c r="J1155" i="1"/>
  <c r="F234" i="22" s="1"/>
  <c r="G234" i="22" s="1"/>
  <c r="I234" i="22" s="1"/>
  <c r="K234" i="22" s="1"/>
  <c r="J1156" i="1"/>
  <c r="J1157" i="1"/>
  <c r="J1158" i="1"/>
  <c r="F236" i="22" s="1"/>
  <c r="G236" i="22" s="1"/>
  <c r="I236" i="22" s="1"/>
  <c r="K236" i="22" s="1"/>
  <c r="J1159" i="1"/>
  <c r="J1160" i="1"/>
  <c r="J1161" i="1"/>
  <c r="J1162" i="1"/>
  <c r="J1163" i="1"/>
  <c r="F237" i="22" s="1"/>
  <c r="G237" i="22" s="1"/>
  <c r="I237" i="22" s="1"/>
  <c r="K237" i="22" s="1"/>
  <c r="J1164" i="1"/>
  <c r="F238" i="22" s="1"/>
  <c r="G238" i="22" s="1"/>
  <c r="I238" i="22" s="1"/>
  <c r="K238" i="22" s="1"/>
  <c r="J1165" i="1"/>
  <c r="F239" i="22" s="1"/>
  <c r="G239" i="22" s="1"/>
  <c r="I239" i="22" s="1"/>
  <c r="K239" i="22" s="1"/>
  <c r="J1166" i="1"/>
  <c r="F240" i="22" s="1"/>
  <c r="G240" i="22" s="1"/>
  <c r="I240" i="22" s="1"/>
  <c r="K240" i="22" s="1"/>
  <c r="J1167" i="1"/>
  <c r="F241" i="22" s="1"/>
  <c r="G241" i="22" s="1"/>
  <c r="I241" i="22" s="1"/>
  <c r="K241" i="22" s="1"/>
  <c r="K1167" i="1"/>
  <c r="J1168" i="1"/>
  <c r="F242" i="22" s="1"/>
  <c r="G242" i="22" s="1"/>
  <c r="I242" i="22" s="1"/>
  <c r="K242" i="22" s="1"/>
  <c r="J1169" i="1"/>
  <c r="F243" i="22" s="1"/>
  <c r="G243" i="22" s="1"/>
  <c r="I243" i="22" s="1"/>
  <c r="K243" i="22" s="1"/>
  <c r="J1170" i="1"/>
  <c r="F244" i="22" s="1"/>
  <c r="G244" i="22" s="1"/>
  <c r="I244" i="22" s="1"/>
  <c r="K244" i="22" s="1"/>
  <c r="J1171" i="1"/>
  <c r="F245" i="22" s="1"/>
  <c r="G245" i="22" s="1"/>
  <c r="I245" i="22" s="1"/>
  <c r="K245" i="22" s="1"/>
  <c r="J1172" i="1"/>
  <c r="F246" i="22" s="1"/>
  <c r="G246" i="22" s="1"/>
  <c r="I246" i="22" s="1"/>
  <c r="K246" i="22" s="1"/>
  <c r="J1173" i="1"/>
  <c r="F247" i="22" s="1"/>
  <c r="G247" i="22" s="1"/>
  <c r="I247" i="22" s="1"/>
  <c r="K247" i="22" s="1"/>
  <c r="J1174" i="1"/>
  <c r="F248" i="22" s="1"/>
  <c r="G248" i="22" s="1"/>
  <c r="I248" i="22" s="1"/>
  <c r="K248" i="22" s="1"/>
  <c r="J1175" i="1"/>
  <c r="F249" i="22" s="1"/>
  <c r="G249" i="22" s="1"/>
  <c r="I249" i="22" s="1"/>
  <c r="K249" i="22" s="1"/>
  <c r="E1176" i="1"/>
  <c r="F1176" i="1"/>
  <c r="G1176" i="1"/>
  <c r="H1176" i="1"/>
  <c r="H1177" i="1" s="1"/>
  <c r="I1176" i="1"/>
  <c r="E1177" i="1"/>
  <c r="G1177" i="1"/>
  <c r="J1185" i="1"/>
  <c r="J1186" i="1"/>
  <c r="J1187" i="1"/>
  <c r="J1188" i="1"/>
  <c r="J1190" i="1"/>
  <c r="J1193" i="1"/>
  <c r="J1194" i="1"/>
  <c r="F1195" i="1"/>
  <c r="G1195"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F1231" i="1"/>
  <c r="G1231" i="1"/>
  <c r="H1231" i="1"/>
  <c r="I1231" i="1"/>
  <c r="I914" i="36" s="1"/>
  <c r="J1231" i="1"/>
  <c r="K1231" i="1"/>
  <c r="L1231" i="1"/>
  <c r="F1240" i="1"/>
  <c r="E481" i="39" s="1"/>
  <c r="I1240" i="1"/>
  <c r="J1240" i="1"/>
  <c r="K1240" i="1"/>
  <c r="L1240" i="1"/>
  <c r="M1240" i="1"/>
  <c r="N1240" i="1"/>
  <c r="G1241" i="1"/>
  <c r="H1241" i="1"/>
  <c r="I1241" i="1"/>
  <c r="J1241" i="1"/>
  <c r="K1241" i="1"/>
  <c r="L1241" i="1"/>
  <c r="M1241" i="1"/>
  <c r="N1241" i="1"/>
  <c r="H1242" i="1"/>
  <c r="I1242" i="1"/>
  <c r="J1242" i="1"/>
  <c r="K1242" i="1"/>
  <c r="L1242" i="1"/>
  <c r="M1242" i="1"/>
  <c r="N1242" i="1"/>
  <c r="G1243" i="1"/>
  <c r="I1243" i="1"/>
  <c r="J1243" i="1"/>
  <c r="K1243" i="1"/>
  <c r="L1243" i="1"/>
  <c r="M1243" i="1"/>
  <c r="N1243" i="1"/>
  <c r="E1244" i="1"/>
  <c r="G1244" i="1"/>
  <c r="I1244" i="1"/>
  <c r="J1244" i="1"/>
  <c r="K1244" i="1"/>
  <c r="L1244" i="1"/>
  <c r="M1244" i="1"/>
  <c r="N1244" i="1"/>
  <c r="E1245" i="1"/>
  <c r="E487" i="39" s="1"/>
  <c r="G1245" i="1"/>
  <c r="H1245" i="1"/>
  <c r="I1245" i="1"/>
  <c r="J1245" i="1"/>
  <c r="K1245" i="1"/>
  <c r="L1245" i="1"/>
  <c r="M1245" i="1"/>
  <c r="N1245" i="1"/>
  <c r="E1246" i="1"/>
  <c r="E489" i="39" s="1"/>
  <c r="G1246" i="1"/>
  <c r="H1246" i="1"/>
  <c r="I1246" i="1"/>
  <c r="J1246" i="1"/>
  <c r="K1246" i="1"/>
  <c r="L1246" i="1"/>
  <c r="M1246" i="1"/>
  <c r="N1246" i="1"/>
  <c r="O1246" i="1"/>
  <c r="F1247" i="1"/>
  <c r="I1247" i="1"/>
  <c r="J1247" i="1"/>
  <c r="K1247" i="1"/>
  <c r="L1247" i="1"/>
  <c r="M1247" i="1"/>
  <c r="N1247" i="1"/>
  <c r="E1248" i="1"/>
  <c r="E491" i="39" s="1"/>
  <c r="F1248" i="1"/>
  <c r="E492" i="39" s="1"/>
  <c r="G1248" i="1"/>
  <c r="H1248" i="1"/>
  <c r="I1248" i="1"/>
  <c r="J1248" i="1"/>
  <c r="K1248" i="1"/>
  <c r="L1248" i="1"/>
  <c r="M1248" i="1"/>
  <c r="N1248" i="1"/>
  <c r="E1278" i="1"/>
  <c r="E517" i="39" s="1"/>
  <c r="I1278" i="1"/>
  <c r="J1278" i="1"/>
  <c r="K1278" i="1"/>
  <c r="L1278" i="1"/>
  <c r="M1278" i="1"/>
  <c r="N1278" i="1"/>
  <c r="F1279" i="1"/>
  <c r="E519" i="39" s="1"/>
  <c r="I1279" i="1"/>
  <c r="J1279" i="1"/>
  <c r="K1279" i="1"/>
  <c r="L1279" i="1"/>
  <c r="M1279" i="1"/>
  <c r="N1279" i="1"/>
  <c r="H1280" i="1"/>
  <c r="I1280" i="1"/>
  <c r="J1280" i="1"/>
  <c r="K1280" i="1"/>
  <c r="L1280" i="1"/>
  <c r="M1280" i="1"/>
  <c r="N1280" i="1"/>
  <c r="E1281" i="1"/>
  <c r="E520" i="39" s="1"/>
  <c r="G1281" i="1"/>
  <c r="H1281" i="1"/>
  <c r="I1281" i="1"/>
  <c r="J1281" i="1"/>
  <c r="K1281" i="1"/>
  <c r="L1281" i="1"/>
  <c r="M1281" i="1"/>
  <c r="N1281" i="1"/>
  <c r="O1281" i="1"/>
  <c r="G1282" i="1"/>
  <c r="I1282" i="1"/>
  <c r="J1282" i="1"/>
  <c r="K1282" i="1"/>
  <c r="L1282" i="1"/>
  <c r="M1282" i="1"/>
  <c r="N1282" i="1"/>
  <c r="I1283" i="1"/>
  <c r="J1283" i="1"/>
  <c r="K1283" i="1"/>
  <c r="L1283" i="1"/>
  <c r="M1283" i="1"/>
  <c r="N1283" i="1"/>
  <c r="F1284" i="1"/>
  <c r="E494" i="39" s="1"/>
  <c r="G1284" i="1"/>
  <c r="H1284" i="1"/>
  <c r="I1284" i="1"/>
  <c r="J1284" i="1"/>
  <c r="K1284" i="1"/>
  <c r="L1284" i="1"/>
  <c r="M1284" i="1"/>
  <c r="N1284" i="1"/>
  <c r="O1284" i="1"/>
  <c r="F1285" i="1"/>
  <c r="E496" i="39" s="1"/>
  <c r="G1285" i="1"/>
  <c r="I1285" i="1"/>
  <c r="J1285" i="1"/>
  <c r="K1285" i="1"/>
  <c r="L1285" i="1"/>
  <c r="M1285" i="1"/>
  <c r="N1285" i="1"/>
  <c r="E1286" i="1"/>
  <c r="E497" i="39" s="1"/>
  <c r="I1286" i="1"/>
  <c r="J1286" i="1"/>
  <c r="K1286" i="1"/>
  <c r="L1286" i="1"/>
  <c r="M1286" i="1"/>
  <c r="N1286" i="1"/>
  <c r="F1287" i="1"/>
  <c r="E500" i="39" s="1"/>
  <c r="I1287" i="1"/>
  <c r="J1287" i="1"/>
  <c r="K1287" i="1"/>
  <c r="L1287" i="1"/>
  <c r="M1287" i="1"/>
  <c r="N1287" i="1"/>
  <c r="E1288" i="1"/>
  <c r="E501" i="39" s="1"/>
  <c r="F1288" i="1"/>
  <c r="E502" i="39" s="1"/>
  <c r="I1288" i="1"/>
  <c r="J1288" i="1"/>
  <c r="K1288" i="1"/>
  <c r="L1288" i="1"/>
  <c r="M1288" i="1"/>
  <c r="N1288" i="1"/>
  <c r="E1289" i="1"/>
  <c r="E503" i="39" s="1"/>
  <c r="F1289" i="1"/>
  <c r="E504" i="39" s="1"/>
  <c r="I1289" i="1"/>
  <c r="J1289" i="1"/>
  <c r="K1289" i="1"/>
  <c r="L1289" i="1"/>
  <c r="M1289" i="1"/>
  <c r="N1289" i="1"/>
  <c r="F1290" i="1"/>
  <c r="E506" i="39" s="1"/>
  <c r="G1290" i="1"/>
  <c r="H1290" i="1"/>
  <c r="I1290" i="1"/>
  <c r="J1290" i="1"/>
  <c r="K1290" i="1"/>
  <c r="L1290" i="1"/>
  <c r="M1290" i="1"/>
  <c r="N1290" i="1"/>
  <c r="E1291" i="1"/>
  <c r="F1291" i="1"/>
  <c r="E508" i="39" s="1"/>
  <c r="H1291" i="1"/>
  <c r="I1291" i="1"/>
  <c r="J1291" i="1"/>
  <c r="K1291" i="1"/>
  <c r="L1291" i="1"/>
  <c r="M1291" i="1"/>
  <c r="N1291" i="1"/>
  <c r="G1292" i="1"/>
  <c r="H1292" i="1"/>
  <c r="I1292" i="1"/>
  <c r="J1292" i="1"/>
  <c r="K1292" i="1"/>
  <c r="L1292" i="1"/>
  <c r="M1292" i="1"/>
  <c r="N1292" i="1"/>
  <c r="E1293" i="1"/>
  <c r="E511" i="39" s="1"/>
  <c r="F1293" i="1"/>
  <c r="E512" i="39" s="1"/>
  <c r="I1293" i="1"/>
  <c r="J1293" i="1"/>
  <c r="K1293" i="1"/>
  <c r="L1293" i="1"/>
  <c r="M1293" i="1"/>
  <c r="N1293" i="1"/>
  <c r="I1294" i="1"/>
  <c r="J1294" i="1"/>
  <c r="K1294" i="1"/>
  <c r="L1294" i="1"/>
  <c r="M1294" i="1"/>
  <c r="N1294" i="1"/>
  <c r="E1295" i="1"/>
  <c r="F1295" i="1"/>
  <c r="E522" i="39" s="1"/>
  <c r="G1295" i="1"/>
  <c r="H1295" i="1"/>
  <c r="I1295" i="1"/>
  <c r="J1295" i="1"/>
  <c r="K1295" i="1"/>
  <c r="L1295" i="1"/>
  <c r="M1295" i="1"/>
  <c r="N1295" i="1"/>
  <c r="I1296" i="1"/>
  <c r="J1296" i="1"/>
  <c r="K1296" i="1"/>
  <c r="L1296" i="1"/>
  <c r="M1296" i="1"/>
  <c r="N1296" i="1"/>
  <c r="H1297" i="1"/>
  <c r="I1297" i="1"/>
  <c r="J1297" i="1"/>
  <c r="K1297" i="1"/>
  <c r="L1297" i="1"/>
  <c r="M1297" i="1"/>
  <c r="N1297" i="1"/>
  <c r="E1298" i="1"/>
  <c r="E527" i="39" s="1"/>
  <c r="G1298" i="1"/>
  <c r="H1298" i="1"/>
  <c r="I1298" i="1"/>
  <c r="J1298" i="1"/>
  <c r="K1298" i="1"/>
  <c r="L1298" i="1"/>
  <c r="M1298" i="1"/>
  <c r="N1298" i="1"/>
  <c r="F1299" i="1"/>
  <c r="E530" i="39" s="1"/>
  <c r="H1299" i="1"/>
  <c r="I1299" i="1"/>
  <c r="J1299" i="1"/>
  <c r="K1299" i="1"/>
  <c r="L1299" i="1"/>
  <c r="M1299" i="1"/>
  <c r="N1299" i="1"/>
  <c r="E1300" i="1"/>
  <c r="E531" i="39" s="1"/>
  <c r="H1300" i="1"/>
  <c r="I1300" i="1"/>
  <c r="J1300" i="1"/>
  <c r="K1300" i="1"/>
  <c r="L1300" i="1"/>
  <c r="M1300" i="1"/>
  <c r="N1300" i="1"/>
  <c r="E1301" i="1"/>
  <c r="F1301" i="1"/>
  <c r="E534" i="39" s="1"/>
  <c r="I1301" i="1"/>
  <c r="J1301" i="1"/>
  <c r="K1301" i="1"/>
  <c r="L1301" i="1"/>
  <c r="M1301" i="1"/>
  <c r="N1301" i="1"/>
  <c r="E1302" i="1"/>
  <c r="G1302" i="1"/>
  <c r="I1302" i="1"/>
  <c r="J1302" i="1"/>
  <c r="K1302" i="1"/>
  <c r="L1302" i="1"/>
  <c r="M1302" i="1"/>
  <c r="N1302" i="1"/>
  <c r="F1303" i="1"/>
  <c r="H1303" i="1"/>
  <c r="I1303" i="1"/>
  <c r="J1303" i="1"/>
  <c r="K1303" i="1"/>
  <c r="L1303" i="1"/>
  <c r="M1303" i="1"/>
  <c r="N1303" i="1"/>
  <c r="E1304" i="1"/>
  <c r="E537" i="39" s="1"/>
  <c r="F1304" i="1"/>
  <c r="E538" i="39" s="1"/>
  <c r="G1304" i="1"/>
  <c r="H1304" i="1"/>
  <c r="I1304" i="1"/>
  <c r="J1304" i="1"/>
  <c r="K1304" i="1"/>
  <c r="L1304" i="1"/>
  <c r="M1304" i="1"/>
  <c r="N1304" i="1"/>
  <c r="E1305" i="1"/>
  <c r="E539" i="39" s="1"/>
  <c r="F1305" i="1"/>
  <c r="E540" i="39" s="1"/>
  <c r="H1305" i="1"/>
  <c r="I1305" i="1"/>
  <c r="J1305" i="1"/>
  <c r="K1305" i="1"/>
  <c r="L1305" i="1"/>
  <c r="M1305" i="1"/>
  <c r="N1305" i="1"/>
  <c r="H1306" i="1"/>
  <c r="J1306" i="1"/>
  <c r="K1306" i="1"/>
  <c r="L1306" i="1"/>
  <c r="M1306" i="1"/>
  <c r="N1306" i="1"/>
  <c r="H1307" i="1"/>
  <c r="J1307" i="1"/>
  <c r="K1307" i="1"/>
  <c r="L1307" i="1"/>
  <c r="M1307" i="1"/>
  <c r="N1307" i="1"/>
  <c r="E1308" i="1"/>
  <c r="J1308" i="1"/>
  <c r="K1308" i="1"/>
  <c r="L1308" i="1"/>
  <c r="M1308" i="1"/>
  <c r="N1308" i="1"/>
  <c r="E1309" i="1"/>
  <c r="F1309" i="1"/>
  <c r="G1309" i="1"/>
  <c r="J1309" i="1"/>
  <c r="K1309" i="1"/>
  <c r="L1309" i="1"/>
  <c r="M1309" i="1"/>
  <c r="N1309" i="1"/>
  <c r="F1310" i="1"/>
  <c r="I1310" i="1"/>
  <c r="J1310" i="1"/>
  <c r="K1310" i="1"/>
  <c r="L1310" i="1"/>
  <c r="M1310" i="1"/>
  <c r="N1310" i="1"/>
  <c r="E1311" i="1"/>
  <c r="F1311" i="1"/>
  <c r="G1311" i="1"/>
  <c r="H1311" i="1"/>
  <c r="J1311" i="1"/>
  <c r="K1311" i="1"/>
  <c r="L1311" i="1"/>
  <c r="M1311" i="1"/>
  <c r="N1311" i="1"/>
  <c r="E1312" i="1"/>
  <c r="F1312" i="1"/>
  <c r="H1312" i="1"/>
  <c r="J1312" i="1"/>
  <c r="K1312" i="1"/>
  <c r="L1312" i="1"/>
  <c r="M1312" i="1"/>
  <c r="N1312" i="1"/>
  <c r="H1313" i="1"/>
  <c r="J1313" i="1"/>
  <c r="K1313" i="1"/>
  <c r="L1313" i="1"/>
  <c r="M1313" i="1"/>
  <c r="N1313" i="1"/>
  <c r="E1314" i="1"/>
  <c r="F1314" i="1"/>
  <c r="G1314" i="1"/>
  <c r="J1314" i="1"/>
  <c r="K1314" i="1"/>
  <c r="L1314" i="1"/>
  <c r="M1314" i="1"/>
  <c r="N1314" i="1"/>
  <c r="E1315" i="1"/>
  <c r="F1315" i="1"/>
  <c r="G1315" i="1"/>
  <c r="J1315" i="1"/>
  <c r="L1315" i="1"/>
  <c r="M1315" i="1"/>
  <c r="N1315" i="1"/>
  <c r="E1316" i="1"/>
  <c r="G1316" i="1"/>
  <c r="J1316" i="1"/>
  <c r="L1316" i="1"/>
  <c r="M1316" i="1"/>
  <c r="N1316" i="1"/>
  <c r="E1317" i="1"/>
  <c r="F1317" i="1"/>
  <c r="H1317" i="1"/>
  <c r="I1317" i="1"/>
  <c r="J1317" i="1"/>
  <c r="L1317" i="1"/>
  <c r="M1317" i="1"/>
  <c r="N1317" i="1"/>
  <c r="F1318" i="1"/>
  <c r="E546" i="39" s="1"/>
  <c r="G1318" i="1"/>
  <c r="H1318" i="1"/>
  <c r="I1318" i="1"/>
  <c r="J1318" i="1"/>
  <c r="K1318" i="1"/>
  <c r="L1318" i="1"/>
  <c r="M1318" i="1"/>
  <c r="N1318" i="1"/>
  <c r="F1319" i="1"/>
  <c r="E548" i="39" s="1"/>
  <c r="E1320" i="1"/>
  <c r="E549" i="39" s="1"/>
  <c r="E1321" i="1"/>
  <c r="F1321" i="1"/>
  <c r="E552" i="39" s="1"/>
  <c r="H1321" i="1"/>
  <c r="I1321" i="1"/>
  <c r="J1321" i="1"/>
  <c r="K1321" i="1"/>
  <c r="L1321" i="1"/>
  <c r="M1321" i="1"/>
  <c r="N1321" i="1"/>
  <c r="E1322" i="1"/>
  <c r="F1322" i="1"/>
  <c r="F1323" i="1"/>
  <c r="E554" i="39" s="1"/>
  <c r="G1323" i="1"/>
  <c r="H1323" i="1"/>
  <c r="I1323" i="1"/>
  <c r="J1323" i="1"/>
  <c r="K1323" i="1"/>
  <c r="L1323" i="1"/>
  <c r="M1323" i="1"/>
  <c r="N1323" i="1"/>
  <c r="E1324" i="1"/>
  <c r="F1324" i="1"/>
  <c r="E556" i="39" s="1"/>
  <c r="G1324" i="1"/>
  <c r="I1324" i="1"/>
  <c r="J1324" i="1"/>
  <c r="K1324" i="1"/>
  <c r="L1324" i="1"/>
  <c r="M1324" i="1"/>
  <c r="N1324" i="1"/>
  <c r="E1325" i="1"/>
  <c r="E557" i="39" s="1"/>
  <c r="F1325" i="1"/>
  <c r="E558" i="39" s="1"/>
  <c r="I1325" i="1"/>
  <c r="J1325" i="1"/>
  <c r="K1325" i="1"/>
  <c r="L1325" i="1"/>
  <c r="M1325" i="1"/>
  <c r="N1325" i="1"/>
  <c r="E906" i="36"/>
  <c r="E524" i="39"/>
  <c r="A33" i="36"/>
  <c r="J1085" i="1"/>
  <c r="M1039" i="1"/>
  <c r="I923" i="36"/>
  <c r="J132" i="29"/>
  <c r="AD132" i="29"/>
  <c r="E135" i="29"/>
  <c r="J135" i="29"/>
  <c r="AD135" i="29" s="1"/>
  <c r="AD91" i="29"/>
  <c r="J83" i="29"/>
  <c r="AD83" i="29" s="1"/>
  <c r="H170" i="29"/>
  <c r="E73" i="29"/>
  <c r="J73" i="29"/>
  <c r="AD73" i="29" s="1"/>
  <c r="J71" i="29"/>
  <c r="AD71" i="29"/>
  <c r="U170" i="29"/>
  <c r="J45" i="29"/>
  <c r="AD45" i="29"/>
  <c r="I170" i="29"/>
  <c r="AC170" i="29"/>
  <c r="T170" i="29"/>
  <c r="AD65" i="29"/>
  <c r="AA170" i="29"/>
  <c r="R170" i="29"/>
  <c r="AB170" i="29"/>
  <c r="S170" i="29"/>
  <c r="AD78" i="29"/>
  <c r="J117" i="29"/>
  <c r="G170" i="29"/>
  <c r="J37" i="29"/>
  <c r="AD37" i="29" s="1"/>
  <c r="Z170" i="29"/>
  <c r="Q170" i="29"/>
  <c r="O1322" i="1" l="1"/>
  <c r="O1248" i="1"/>
  <c r="O1245" i="1"/>
  <c r="L1327" i="1"/>
  <c r="F1177" i="1"/>
  <c r="E916" i="36"/>
  <c r="F210" i="22"/>
  <c r="G210" i="22" s="1"/>
  <c r="I210" i="22" s="1"/>
  <c r="K210" i="22" s="1"/>
  <c r="E915" i="36"/>
  <c r="F209" i="22"/>
  <c r="G209" i="22" s="1"/>
  <c r="I209" i="22" s="1"/>
  <c r="K209" i="22" s="1"/>
  <c r="E914" i="36"/>
  <c r="F208" i="22"/>
  <c r="G208" i="22" s="1"/>
  <c r="I208" i="22" s="1"/>
  <c r="K208" i="22" s="1"/>
  <c r="F207" i="22"/>
  <c r="G207" i="22" s="1"/>
  <c r="I207" i="22" s="1"/>
  <c r="K207" i="22" s="1"/>
  <c r="E913" i="36"/>
  <c r="C44" i="22"/>
  <c r="M1050" i="1"/>
  <c r="K1085" i="1"/>
  <c r="I25" i="36"/>
  <c r="J1024" i="1"/>
  <c r="A880" i="36"/>
  <c r="A879" i="36" s="1"/>
  <c r="E880" i="36"/>
  <c r="E887" i="36"/>
  <c r="A887" i="36" s="1"/>
  <c r="F148" i="22"/>
  <c r="G148" i="22" s="1"/>
  <c r="I148" i="22" s="1"/>
  <c r="K148" i="22" s="1"/>
  <c r="G1321" i="1"/>
  <c r="E172" i="36"/>
  <c r="E171" i="36"/>
  <c r="E170" i="36"/>
  <c r="E169" i="36"/>
  <c r="E168" i="36"/>
  <c r="E164" i="36"/>
  <c r="H1310" i="1"/>
  <c r="E335" i="36"/>
  <c r="E162" i="36"/>
  <c r="H1308" i="1"/>
  <c r="G1307" i="1"/>
  <c r="Q613" i="1"/>
  <c r="G1303" i="1"/>
  <c r="E156" i="36"/>
  <c r="E155" i="36"/>
  <c r="G1301" i="1"/>
  <c r="E240" i="36"/>
  <c r="E154" i="36"/>
  <c r="G1296" i="1"/>
  <c r="E148" i="36"/>
  <c r="E147" i="36"/>
  <c r="G1291" i="1"/>
  <c r="E144" i="36"/>
  <c r="E142" i="36"/>
  <c r="H1286" i="1"/>
  <c r="E311" i="36"/>
  <c r="Q593" i="1"/>
  <c r="E137" i="36"/>
  <c r="E136" i="36"/>
  <c r="E133" i="36"/>
  <c r="G1279" i="1"/>
  <c r="H1278" i="1"/>
  <c r="E303" i="36"/>
  <c r="E131" i="36"/>
  <c r="Q551" i="1"/>
  <c r="G1240" i="1"/>
  <c r="E94" i="36"/>
  <c r="F1326" i="1"/>
  <c r="O1326" i="1" s="1"/>
  <c r="F134" i="22"/>
  <c r="G134" i="22" s="1"/>
  <c r="I134" i="22" s="1"/>
  <c r="K134" i="22" s="1"/>
  <c r="C21" i="22"/>
  <c r="F99" i="22"/>
  <c r="G99" i="22" s="1"/>
  <c r="I99" i="22" s="1"/>
  <c r="K99" i="22" s="1"/>
  <c r="E910" i="36"/>
  <c r="E909" i="36"/>
  <c r="F98" i="22"/>
  <c r="G98" i="22" s="1"/>
  <c r="I98" i="22" s="1"/>
  <c r="K98" i="22" s="1"/>
  <c r="F97" i="22"/>
  <c r="G97" i="22" s="1"/>
  <c r="I97" i="22" s="1"/>
  <c r="K97" i="22" s="1"/>
  <c r="E908" i="36"/>
  <c r="E904" i="36"/>
  <c r="F96" i="22"/>
  <c r="G96" i="22" s="1"/>
  <c r="I96" i="22" s="1"/>
  <c r="K96" i="22" s="1"/>
  <c r="J451" i="1"/>
  <c r="E807" i="36" s="1"/>
  <c r="A768" i="36"/>
  <c r="J427" i="1"/>
  <c r="E1307" i="1" s="1"/>
  <c r="I354" i="1"/>
  <c r="J354" i="1" s="1"/>
  <c r="E1287" i="1" s="1"/>
  <c r="E499" i="39" s="1"/>
  <c r="C13" i="22"/>
  <c r="F13" i="22" s="1"/>
  <c r="J119" i="1"/>
  <c r="E1247" i="1" s="1"/>
  <c r="A872" i="36"/>
  <c r="A873" i="36"/>
  <c r="A824" i="36"/>
  <c r="A823" i="36" s="1"/>
  <c r="A825" i="36"/>
  <c r="I821" i="36"/>
  <c r="A786" i="36"/>
  <c r="E782" i="36"/>
  <c r="A782" i="36" s="1"/>
  <c r="E778" i="36"/>
  <c r="A778" i="36" s="1"/>
  <c r="A777" i="36" s="1"/>
  <c r="A80" i="36"/>
  <c r="A78" i="36"/>
  <c r="A77" i="36"/>
  <c r="A76" i="36"/>
  <c r="A74" i="36"/>
  <c r="A73" i="36"/>
  <c r="A71" i="36"/>
  <c r="A70" i="36"/>
  <c r="A68" i="36"/>
  <c r="A67" i="36"/>
  <c r="A66" i="36"/>
  <c r="A65" i="36"/>
  <c r="A64" i="36"/>
  <c r="A63" i="36"/>
  <c r="A62" i="36"/>
  <c r="A61" i="36"/>
  <c r="A60" i="36"/>
  <c r="A59" i="36"/>
  <c r="A56" i="36"/>
  <c r="A53" i="36"/>
  <c r="A52" i="36"/>
  <c r="A51" i="36"/>
  <c r="A50" i="36"/>
  <c r="A49" i="36"/>
  <c r="A48" i="36"/>
  <c r="A46" i="36"/>
  <c r="A45" i="36"/>
  <c r="A39" i="36"/>
  <c r="A38" i="36"/>
  <c r="A36" i="36"/>
  <c r="A32" i="36"/>
  <c r="A26" i="36"/>
  <c r="A24" i="36"/>
  <c r="A19" i="36" s="1"/>
  <c r="J169" i="29"/>
  <c r="J145" i="29"/>
  <c r="J105" i="29"/>
  <c r="L170" i="29"/>
  <c r="I1" i="33"/>
  <c r="G67" i="50"/>
  <c r="E865" i="36" s="1"/>
  <c r="A865" i="36" s="1"/>
  <c r="J29" i="29"/>
  <c r="AD29" i="29" s="1"/>
  <c r="J50" i="29"/>
  <c r="W170" i="29"/>
  <c r="J97" i="29"/>
  <c r="AD161" i="29"/>
  <c r="J130" i="29"/>
  <c r="AD97" i="29"/>
  <c r="J69" i="29"/>
  <c r="AD169" i="29"/>
  <c r="E51" i="22"/>
  <c r="H1024" i="1"/>
  <c r="A20" i="36"/>
  <c r="I843" i="1"/>
  <c r="I862" i="1"/>
  <c r="I878" i="1"/>
  <c r="I562" i="1" s="1"/>
  <c r="E280" i="36" s="1"/>
  <c r="I842" i="1"/>
  <c r="I705" i="1"/>
  <c r="I155" i="1" s="1"/>
  <c r="E624" i="36"/>
  <c r="I703" i="1"/>
  <c r="I153" i="1" s="1"/>
  <c r="H15" i="49"/>
  <c r="J676" i="1" s="1"/>
  <c r="J126" i="1" s="1"/>
  <c r="P571" i="1"/>
  <c r="V73" i="49"/>
  <c r="I849" i="1"/>
  <c r="I874" i="1"/>
  <c r="I867" i="1"/>
  <c r="I845" i="1"/>
  <c r="P37" i="49"/>
  <c r="I844" i="1"/>
  <c r="H32" i="49"/>
  <c r="J693" i="1" s="1"/>
  <c r="J143" i="1" s="1"/>
  <c r="H89" i="49"/>
  <c r="J750" i="1" s="1"/>
  <c r="J200" i="1" s="1"/>
  <c r="I952" i="1"/>
  <c r="H27" i="49"/>
  <c r="J688" i="1" s="1"/>
  <c r="J138" i="1" s="1"/>
  <c r="L571" i="1"/>
  <c r="E547" i="36" s="1"/>
  <c r="C50" i="49"/>
  <c r="E711" i="1" s="1"/>
  <c r="E161" i="1" s="1"/>
  <c r="I746" i="1"/>
  <c r="I196" i="1" s="1"/>
  <c r="I938" i="1"/>
  <c r="I574" i="1" s="1"/>
  <c r="E292" i="36" s="1"/>
  <c r="I940" i="1"/>
  <c r="E1299" i="1"/>
  <c r="E529" i="39" s="1"/>
  <c r="P145" i="49"/>
  <c r="I920" i="1"/>
  <c r="I902" i="1"/>
  <c r="I885" i="1"/>
  <c r="I882" i="1"/>
  <c r="I860" i="1"/>
  <c r="I857" i="1"/>
  <c r="I850" i="1"/>
  <c r="Q73" i="49"/>
  <c r="I890" i="1"/>
  <c r="I880" i="1"/>
  <c r="O50" i="49"/>
  <c r="F894" i="1"/>
  <c r="K69" i="49"/>
  <c r="F895" i="1" s="1"/>
  <c r="F565" i="1" s="1"/>
  <c r="S69" i="49"/>
  <c r="H895" i="1" s="1"/>
  <c r="E197" i="36" s="1"/>
  <c r="F50" i="49"/>
  <c r="H711" i="1" s="1"/>
  <c r="H161" i="1" s="1"/>
  <c r="Z73" i="49"/>
  <c r="M899" i="1" s="1"/>
  <c r="K1258" i="1" s="1"/>
  <c r="H88" i="49"/>
  <c r="AB88" i="49" s="1"/>
  <c r="O914" i="1" s="1"/>
  <c r="H25" i="49"/>
  <c r="AB25" i="49" s="1"/>
  <c r="O851" i="1" s="1"/>
  <c r="I704" i="1"/>
  <c r="I154" i="1" s="1"/>
  <c r="H43" i="49"/>
  <c r="J704" i="1" s="1"/>
  <c r="J154" i="1" s="1"/>
  <c r="F681" i="1"/>
  <c r="F131" i="1" s="1"/>
  <c r="H20" i="49"/>
  <c r="AB20" i="49" s="1"/>
  <c r="O846" i="1" s="1"/>
  <c r="M941" i="1"/>
  <c r="Z117" i="49"/>
  <c r="M943" i="1" s="1"/>
  <c r="K1267" i="1" s="1"/>
  <c r="F696" i="1"/>
  <c r="F146" i="1" s="1"/>
  <c r="H35" i="49"/>
  <c r="J696" i="1" s="1"/>
  <c r="J146" i="1" s="1"/>
  <c r="H17" i="49"/>
  <c r="J678" i="1" s="1"/>
  <c r="J128" i="1" s="1"/>
  <c r="I901" i="1"/>
  <c r="U73" i="49"/>
  <c r="L73" i="49"/>
  <c r="N69" i="49"/>
  <c r="V65" i="49"/>
  <c r="M65" i="49"/>
  <c r="I858" i="1"/>
  <c r="L37" i="49"/>
  <c r="Z37" i="49"/>
  <c r="M863" i="1" s="1"/>
  <c r="K1251" i="1" s="1"/>
  <c r="I846" i="1"/>
  <c r="G846" i="1"/>
  <c r="Q21" i="49"/>
  <c r="O145" i="49"/>
  <c r="L130" i="49"/>
  <c r="P97" i="49"/>
  <c r="E97" i="49"/>
  <c r="G758" i="1" s="1"/>
  <c r="G208" i="1" s="1"/>
  <c r="G889" i="1"/>
  <c r="W37" i="49"/>
  <c r="J863" i="1" s="1"/>
  <c r="J559" i="1" s="1"/>
  <c r="E363" i="36" s="1"/>
  <c r="S37" i="49"/>
  <c r="H863" i="1" s="1"/>
  <c r="H559" i="1" s="1"/>
  <c r="E191" i="36" s="1"/>
  <c r="D21" i="49"/>
  <c r="F682" i="1" s="1"/>
  <c r="F132" i="1" s="1"/>
  <c r="I964" i="1"/>
  <c r="Q135" i="49"/>
  <c r="I908" i="1"/>
  <c r="M73" i="49"/>
  <c r="O69" i="49"/>
  <c r="I873" i="1"/>
  <c r="E21" i="49"/>
  <c r="G682" i="1" s="1"/>
  <c r="G132" i="1" s="1"/>
  <c r="M857" i="1"/>
  <c r="M83" i="49"/>
  <c r="I881" i="1"/>
  <c r="G874" i="1"/>
  <c r="I869" i="1"/>
  <c r="U45" i="49"/>
  <c r="V37" i="49"/>
  <c r="M37" i="49"/>
  <c r="M29" i="49"/>
  <c r="F21" i="49"/>
  <c r="H682" i="1" s="1"/>
  <c r="H132" i="1" s="1"/>
  <c r="R135" i="49"/>
  <c r="I933" i="1"/>
  <c r="I922" i="1"/>
  <c r="Y69" i="49"/>
  <c r="L895" i="1" s="1"/>
  <c r="L565" i="1" s="1"/>
  <c r="E541" i="36" s="1"/>
  <c r="I930" i="1"/>
  <c r="Z21" i="49"/>
  <c r="M847" i="1" s="1"/>
  <c r="M557" i="1" s="1"/>
  <c r="E619" i="36" s="1"/>
  <c r="C60" i="49"/>
  <c r="E721" i="1" s="1"/>
  <c r="E171" i="1" s="1"/>
  <c r="Y37" i="49"/>
  <c r="L863" i="1" s="1"/>
  <c r="J1251" i="1" s="1"/>
  <c r="I913" i="1"/>
  <c r="I894" i="1"/>
  <c r="I941" i="1"/>
  <c r="W69" i="49"/>
  <c r="J895" i="1" s="1"/>
  <c r="J565" i="1" s="1"/>
  <c r="E369" i="36" s="1"/>
  <c r="E37" i="49"/>
  <c r="G698" i="1" s="1"/>
  <c r="G148" i="1" s="1"/>
  <c r="O117" i="49"/>
  <c r="H58" i="49"/>
  <c r="J719" i="1" s="1"/>
  <c r="J169" i="1" s="1"/>
  <c r="I959" i="1"/>
  <c r="I946" i="1"/>
  <c r="AA29" i="49"/>
  <c r="N855" i="1" s="1"/>
  <c r="N1250" i="1" s="1"/>
  <c r="Y29" i="49"/>
  <c r="L855" i="1" s="1"/>
  <c r="J1250" i="1" s="1"/>
  <c r="J21" i="49"/>
  <c r="E847" i="1" s="1"/>
  <c r="E557" i="1" s="1"/>
  <c r="K1263" i="1"/>
  <c r="H678" i="1"/>
  <c r="H128" i="1" s="1"/>
  <c r="A87" i="36"/>
  <c r="I897" i="1"/>
  <c r="M78" i="49"/>
  <c r="N73" i="49"/>
  <c r="H139" i="49"/>
  <c r="J800" i="1" s="1"/>
  <c r="J250" i="1" s="1"/>
  <c r="Z140" i="49"/>
  <c r="M966" i="1" s="1"/>
  <c r="K1272" i="1" s="1"/>
  <c r="Z83" i="49"/>
  <c r="M909" i="1" s="1"/>
  <c r="M568" i="1" s="1"/>
  <c r="E630" i="36" s="1"/>
  <c r="H108" i="49"/>
  <c r="J769" i="1" s="1"/>
  <c r="J219" i="1" s="1"/>
  <c r="X50" i="49"/>
  <c r="K876" i="1" s="1"/>
  <c r="C69" i="49"/>
  <c r="E730" i="1" s="1"/>
  <c r="E180" i="1" s="1"/>
  <c r="R145" i="49"/>
  <c r="P135" i="49"/>
  <c r="P140" i="49"/>
  <c r="U135" i="49"/>
  <c r="L135" i="49"/>
  <c r="P110" i="49"/>
  <c r="Q78" i="49"/>
  <c r="L78" i="49"/>
  <c r="O73" i="49"/>
  <c r="P65" i="49"/>
  <c r="N1269" i="1"/>
  <c r="AA145" i="49"/>
  <c r="N971" i="1" s="1"/>
  <c r="P581" i="1" s="1"/>
  <c r="J50" i="49"/>
  <c r="E876" i="1" s="1"/>
  <c r="E561" i="1" s="1"/>
  <c r="I968" i="1"/>
  <c r="I954" i="1"/>
  <c r="R50" i="49"/>
  <c r="Y65" i="49"/>
  <c r="L891" i="1" s="1"/>
  <c r="L564" i="1" s="1"/>
  <c r="E540" i="36" s="1"/>
  <c r="E65" i="49"/>
  <c r="G726" i="1" s="1"/>
  <c r="G176" i="1" s="1"/>
  <c r="I994" i="1"/>
  <c r="K83" i="49"/>
  <c r="F909" i="1" s="1"/>
  <c r="F568" i="1" s="1"/>
  <c r="K78" i="49"/>
  <c r="F904" i="1" s="1"/>
  <c r="F567" i="1" s="1"/>
  <c r="U50" i="49"/>
  <c r="L50" i="49"/>
  <c r="I865" i="1"/>
  <c r="I861" i="1"/>
  <c r="J29" i="49"/>
  <c r="E855" i="1" s="1"/>
  <c r="E558" i="1" s="1"/>
  <c r="Z78" i="49"/>
  <c r="M904" i="1" s="1"/>
  <c r="K1259" i="1" s="1"/>
  <c r="D105" i="49"/>
  <c r="F766" i="1" s="1"/>
  <c r="F216" i="1" s="1"/>
  <c r="U105" i="49"/>
  <c r="U78" i="49"/>
  <c r="O78" i="49"/>
  <c r="W60" i="49"/>
  <c r="J886" i="1" s="1"/>
  <c r="J563" i="1" s="1"/>
  <c r="E367" i="36" s="1"/>
  <c r="I992" i="1"/>
  <c r="I859" i="1"/>
  <c r="H102" i="49"/>
  <c r="J763" i="1" s="1"/>
  <c r="J213" i="1" s="1"/>
  <c r="E117" i="49"/>
  <c r="G778" i="1" s="1"/>
  <c r="G228" i="1" s="1"/>
  <c r="R140" i="49"/>
  <c r="O140" i="49"/>
  <c r="I950" i="1"/>
  <c r="I577" i="1" s="1"/>
  <c r="E295" i="36" s="1"/>
  <c r="F88" i="22"/>
  <c r="G88" i="22" s="1"/>
  <c r="I88" i="22" s="1"/>
  <c r="K88" i="22" s="1"/>
  <c r="E60" i="49"/>
  <c r="G721" i="1" s="1"/>
  <c r="G171" i="1" s="1"/>
  <c r="K37" i="49"/>
  <c r="F863" i="1" s="1"/>
  <c r="F559" i="1" s="1"/>
  <c r="D117" i="49"/>
  <c r="F778" i="1" s="1"/>
  <c r="F228" i="1" s="1"/>
  <c r="L117" i="49"/>
  <c r="O110" i="49"/>
  <c r="L110" i="49"/>
  <c r="R110" i="49"/>
  <c r="P105" i="49"/>
  <c r="N105" i="49"/>
  <c r="I854" i="1"/>
  <c r="Y110" i="49"/>
  <c r="L936" i="1" s="1"/>
  <c r="L573" i="1" s="1"/>
  <c r="E549" i="36" s="1"/>
  <c r="I747" i="1"/>
  <c r="I197" i="1" s="1"/>
  <c r="AA83" i="49"/>
  <c r="N909" i="1" s="1"/>
  <c r="N1260" i="1" s="1"/>
  <c r="Z122" i="49"/>
  <c r="M948" i="1" s="1"/>
  <c r="M576" i="1" s="1"/>
  <c r="E638" i="36" s="1"/>
  <c r="Q122" i="49"/>
  <c r="N117" i="49"/>
  <c r="Q105" i="49"/>
  <c r="I984" i="1"/>
  <c r="N161" i="49"/>
  <c r="W122" i="49"/>
  <c r="J948" i="1" s="1"/>
  <c r="J576" i="1" s="1"/>
  <c r="E380" i="36" s="1"/>
  <c r="N122" i="49"/>
  <c r="V110" i="49"/>
  <c r="M110" i="49"/>
  <c r="R73" i="49"/>
  <c r="V45" i="49"/>
  <c r="I702" i="1"/>
  <c r="I152" i="1" s="1"/>
  <c r="I989" i="1"/>
  <c r="I969" i="1"/>
  <c r="G968" i="1"/>
  <c r="I955" i="1"/>
  <c r="R122" i="49"/>
  <c r="O122" i="49"/>
  <c r="F105" i="49"/>
  <c r="H766" i="1" s="1"/>
  <c r="H216" i="1" s="1"/>
  <c r="E110" i="49"/>
  <c r="G771" i="1" s="1"/>
  <c r="G221" i="1" s="1"/>
  <c r="X69" i="49"/>
  <c r="K895" i="1" s="1"/>
  <c r="I1257" i="1" s="1"/>
  <c r="W45" i="49"/>
  <c r="J871" i="1" s="1"/>
  <c r="J560" i="1" s="1"/>
  <c r="E364" i="36" s="1"/>
  <c r="V83" i="49"/>
  <c r="M45" i="49"/>
  <c r="H52" i="49"/>
  <c r="AB52" i="49" s="1"/>
  <c r="O878" i="1" s="1"/>
  <c r="J73" i="49"/>
  <c r="E899" i="1" s="1"/>
  <c r="E566" i="1" s="1"/>
  <c r="I985" i="1"/>
  <c r="U140" i="49"/>
  <c r="I958" i="1"/>
  <c r="V50" i="49"/>
  <c r="M50" i="49"/>
  <c r="K50" i="49"/>
  <c r="F876" i="1" s="1"/>
  <c r="F561" i="1" s="1"/>
  <c r="AA140" i="49"/>
  <c r="N966" i="1" s="1"/>
  <c r="P580" i="1" s="1"/>
  <c r="F117" i="49"/>
  <c r="H778" i="1" s="1"/>
  <c r="H228" i="1" s="1"/>
  <c r="I903" i="1"/>
  <c r="K73" i="49"/>
  <c r="F899" i="1" s="1"/>
  <c r="O65" i="49"/>
  <c r="M135" i="49"/>
  <c r="U122" i="49"/>
  <c r="M945" i="1"/>
  <c r="K161" i="49"/>
  <c r="F987" i="1" s="1"/>
  <c r="F583" i="1" s="1"/>
  <c r="AA130" i="49"/>
  <c r="N956" i="1" s="1"/>
  <c r="N1270" i="1" s="1"/>
  <c r="F161" i="49"/>
  <c r="H822" i="1" s="1"/>
  <c r="H272" i="1" s="1"/>
  <c r="F122" i="49"/>
  <c r="H783" i="1" s="1"/>
  <c r="H233" i="1" s="1"/>
  <c r="X145" i="49"/>
  <c r="K971" i="1" s="1"/>
  <c r="I1273" i="1" s="1"/>
  <c r="F897" i="1"/>
  <c r="U145" i="49"/>
  <c r="I751" i="1"/>
  <c r="I201" i="1" s="1"/>
  <c r="I875" i="1"/>
  <c r="F907" i="1"/>
  <c r="Q83" i="49"/>
  <c r="U29" i="49"/>
  <c r="Q29" i="49"/>
  <c r="H24" i="49"/>
  <c r="J685" i="1" s="1"/>
  <c r="J135" i="1" s="1"/>
  <c r="N21" i="49"/>
  <c r="G842" i="1"/>
  <c r="N1266" i="1"/>
  <c r="V78" i="49"/>
  <c r="H127" i="49"/>
  <c r="AB127" i="49" s="1"/>
  <c r="O953" i="1" s="1"/>
  <c r="H63" i="49"/>
  <c r="J724" i="1" s="1"/>
  <c r="J174" i="1" s="1"/>
  <c r="G919" i="1"/>
  <c r="I915" i="1"/>
  <c r="G914" i="1"/>
  <c r="G911" i="1"/>
  <c r="P83" i="49"/>
  <c r="G861" i="1"/>
  <c r="G854" i="1"/>
  <c r="E29" i="49"/>
  <c r="G690" i="1" s="1"/>
  <c r="G140" i="1" s="1"/>
  <c r="U21" i="49"/>
  <c r="L21" i="49"/>
  <c r="W117" i="49"/>
  <c r="J943" i="1" s="1"/>
  <c r="J575" i="1" s="1"/>
  <c r="E379" i="36" s="1"/>
  <c r="H72" i="49"/>
  <c r="J733" i="1" s="1"/>
  <c r="J183" i="1" s="1"/>
  <c r="S169" i="49"/>
  <c r="H995" i="1" s="1"/>
  <c r="E216" i="36" s="1"/>
  <c r="H164" i="49"/>
  <c r="AB164" i="49" s="1"/>
  <c r="O990" i="1" s="1"/>
  <c r="J947" i="1"/>
  <c r="F776" i="1"/>
  <c r="F226" i="1" s="1"/>
  <c r="R97" i="49"/>
  <c r="G920" i="1"/>
  <c r="I870" i="1"/>
  <c r="R45" i="49"/>
  <c r="X110" i="49"/>
  <c r="K936" i="1" s="1"/>
  <c r="K169" i="49"/>
  <c r="F995" i="1" s="1"/>
  <c r="F584" i="1" s="1"/>
  <c r="Y140" i="49"/>
  <c r="L966" i="1" s="1"/>
  <c r="J1272" i="1" s="1"/>
  <c r="J145" i="49"/>
  <c r="E971" i="1" s="1"/>
  <c r="E581" i="1" s="1"/>
  <c r="W73" i="49"/>
  <c r="J899" i="1" s="1"/>
  <c r="J566" i="1" s="1"/>
  <c r="E370" i="36" s="1"/>
  <c r="E135" i="49"/>
  <c r="G796" i="1" s="1"/>
  <c r="G246" i="1" s="1"/>
  <c r="E69" i="49"/>
  <c r="G730" i="1" s="1"/>
  <c r="G180" i="1" s="1"/>
  <c r="H124" i="49"/>
  <c r="J785" i="1" s="1"/>
  <c r="J1254" i="1"/>
  <c r="N135" i="49"/>
  <c r="P130" i="49"/>
  <c r="V130" i="49"/>
  <c r="V122" i="49"/>
  <c r="M122" i="49"/>
  <c r="P122" i="49"/>
  <c r="V117" i="49"/>
  <c r="M117" i="49"/>
  <c r="N110" i="49"/>
  <c r="Q110" i="49"/>
  <c r="I929" i="1"/>
  <c r="I888" i="1"/>
  <c r="G878" i="1"/>
  <c r="E108" i="36" s="1"/>
  <c r="Q50" i="49"/>
  <c r="H48" i="49"/>
  <c r="J709" i="1" s="1"/>
  <c r="J159" i="1" s="1"/>
  <c r="H80" i="49"/>
  <c r="J741" i="1" s="1"/>
  <c r="J191" i="1" s="1"/>
  <c r="U117" i="49"/>
  <c r="Z97" i="49"/>
  <c r="M923" i="1" s="1"/>
  <c r="K1262" i="1" s="1"/>
  <c r="O153" i="49"/>
  <c r="I970" i="1"/>
  <c r="W145" i="49"/>
  <c r="J971" i="1" s="1"/>
  <c r="J581" i="1" s="1"/>
  <c r="E385" i="36" s="1"/>
  <c r="O135" i="49"/>
  <c r="R78" i="49"/>
  <c r="Y78" i="49"/>
  <c r="L904" i="1" s="1"/>
  <c r="J1259" i="1" s="1"/>
  <c r="P78" i="49"/>
  <c r="P73" i="49"/>
  <c r="E73" i="49"/>
  <c r="G734" i="1" s="1"/>
  <c r="G184" i="1" s="1"/>
  <c r="V69" i="49"/>
  <c r="M69" i="49"/>
  <c r="R69" i="49"/>
  <c r="U65" i="49"/>
  <c r="L65" i="49"/>
  <c r="R65" i="49"/>
  <c r="O60" i="49"/>
  <c r="G965" i="1"/>
  <c r="Q130" i="49"/>
  <c r="L122" i="49"/>
  <c r="C73" i="49"/>
  <c r="E734" i="1" s="1"/>
  <c r="E184" i="1" s="1"/>
  <c r="J153" i="49"/>
  <c r="E979" i="1" s="1"/>
  <c r="E582" i="1" s="1"/>
  <c r="J65" i="49"/>
  <c r="E891" i="1" s="1"/>
  <c r="E564" i="1" s="1"/>
  <c r="I737" i="1"/>
  <c r="I187" i="1" s="1"/>
  <c r="D135" i="49"/>
  <c r="F796" i="1" s="1"/>
  <c r="F246" i="1" s="1"/>
  <c r="H55" i="49"/>
  <c r="J716" i="1" s="1"/>
  <c r="J166" i="1" s="1"/>
  <c r="H95" i="49"/>
  <c r="J756" i="1" s="1"/>
  <c r="J206" i="1" s="1"/>
  <c r="G975" i="1"/>
  <c r="O83" i="49"/>
  <c r="I906" i="1"/>
  <c r="G906" i="1"/>
  <c r="G903" i="1"/>
  <c r="G901" i="1"/>
  <c r="H843" i="1"/>
  <c r="S21" i="49"/>
  <c r="H847" i="1" s="1"/>
  <c r="E189" i="36" s="1"/>
  <c r="J130" i="49"/>
  <c r="E956" i="1" s="1"/>
  <c r="E578" i="1" s="1"/>
  <c r="E952" i="1"/>
  <c r="E777" i="1"/>
  <c r="E227" i="1" s="1"/>
  <c r="H116" i="49"/>
  <c r="J777" i="1" s="1"/>
  <c r="J227" i="1" s="1"/>
  <c r="K1266" i="1"/>
  <c r="M574" i="1"/>
  <c r="E636" i="36" s="1"/>
  <c r="H768" i="1"/>
  <c r="H218" i="1" s="1"/>
  <c r="H107" i="49"/>
  <c r="J768" i="1" s="1"/>
  <c r="J218" i="1" s="1"/>
  <c r="K930" i="1"/>
  <c r="X105" i="49"/>
  <c r="K931" i="1" s="1"/>
  <c r="F928" i="1"/>
  <c r="K105" i="49"/>
  <c r="F931" i="1" s="1"/>
  <c r="F572" i="1" s="1"/>
  <c r="H865" i="1"/>
  <c r="S45" i="49"/>
  <c r="H871" i="1" s="1"/>
  <c r="E192" i="36" s="1"/>
  <c r="F865" i="1"/>
  <c r="K45" i="49"/>
  <c r="F871" i="1" s="1"/>
  <c r="F560" i="1" s="1"/>
  <c r="K857" i="1"/>
  <c r="X37" i="49"/>
  <c r="K863" i="1" s="1"/>
  <c r="I1251" i="1" s="1"/>
  <c r="O37" i="49"/>
  <c r="E687" i="1"/>
  <c r="E137" i="1" s="1"/>
  <c r="H26" i="49"/>
  <c r="J687" i="1" s="1"/>
  <c r="J137" i="1" s="1"/>
  <c r="G850" i="1"/>
  <c r="P29" i="49"/>
  <c r="G845" i="1"/>
  <c r="F680" i="1"/>
  <c r="F130" i="1" s="1"/>
  <c r="H19" i="49"/>
  <c r="G844" i="1"/>
  <c r="AA21" i="49"/>
  <c r="N847" i="1" s="1"/>
  <c r="N1249" i="1" s="1"/>
  <c r="R21" i="49"/>
  <c r="G843" i="1"/>
  <c r="K842" i="1"/>
  <c r="X21" i="49"/>
  <c r="K847" i="1" s="1"/>
  <c r="O21" i="49"/>
  <c r="L97" i="49"/>
  <c r="G922" i="1"/>
  <c r="H87" i="49"/>
  <c r="I748" i="1"/>
  <c r="I198" i="1" s="1"/>
  <c r="H18" i="49"/>
  <c r="AB18" i="49" s="1"/>
  <c r="O844" i="1" s="1"/>
  <c r="E679" i="1"/>
  <c r="E129" i="1" s="1"/>
  <c r="K91" i="49"/>
  <c r="F917" i="1" s="1"/>
  <c r="F569" i="1" s="1"/>
  <c r="E776" i="1"/>
  <c r="E226" i="1" s="1"/>
  <c r="C117" i="49"/>
  <c r="E778" i="1" s="1"/>
  <c r="E228" i="1" s="1"/>
  <c r="W135" i="49"/>
  <c r="J961" i="1" s="1"/>
  <c r="J579" i="1" s="1"/>
  <c r="E383" i="36" s="1"/>
  <c r="G708" i="1"/>
  <c r="G158" i="1" s="1"/>
  <c r="E50" i="49"/>
  <c r="G711" i="1" s="1"/>
  <c r="G161" i="1" s="1"/>
  <c r="O45" i="49"/>
  <c r="E865" i="1"/>
  <c r="J45" i="49"/>
  <c r="E871" i="1" s="1"/>
  <c r="E560" i="1" s="1"/>
  <c r="G862" i="1"/>
  <c r="G860" i="1"/>
  <c r="E695" i="1"/>
  <c r="E145" i="1" s="1"/>
  <c r="H34" i="49"/>
  <c r="AB34" i="49" s="1"/>
  <c r="O860" i="1" s="1"/>
  <c r="Q37" i="49"/>
  <c r="H693" i="1"/>
  <c r="H143" i="1" s="1"/>
  <c r="F37" i="49"/>
  <c r="H698" i="1" s="1"/>
  <c r="H148" i="1" s="1"/>
  <c r="G857" i="1"/>
  <c r="H31" i="49"/>
  <c r="AB31" i="49" s="1"/>
  <c r="O857" i="1" s="1"/>
  <c r="E692" i="1"/>
  <c r="E142" i="1" s="1"/>
  <c r="I934" i="1"/>
  <c r="U110" i="49"/>
  <c r="L908" i="1"/>
  <c r="Y83" i="49"/>
  <c r="L909" i="1" s="1"/>
  <c r="L568" i="1" s="1"/>
  <c r="E544" i="36" s="1"/>
  <c r="L842" i="1"/>
  <c r="Y21" i="49"/>
  <c r="L847" i="1" s="1"/>
  <c r="S122" i="49"/>
  <c r="H948" i="1" s="1"/>
  <c r="E208" i="36" s="1"/>
  <c r="G950" i="1"/>
  <c r="AA122" i="49"/>
  <c r="N948" i="1" s="1"/>
  <c r="N946" i="1"/>
  <c r="K945" i="1"/>
  <c r="X122" i="49"/>
  <c r="K948" i="1" s="1"/>
  <c r="E466" i="36" s="1"/>
  <c r="N940" i="1"/>
  <c r="AA117" i="49"/>
  <c r="N943" i="1" s="1"/>
  <c r="N1267" i="1" s="1"/>
  <c r="H115" i="49"/>
  <c r="AB115" i="49" s="1"/>
  <c r="O941" i="1" s="1"/>
  <c r="C21" i="49"/>
  <c r="E682" i="1" s="1"/>
  <c r="E132" i="1" s="1"/>
  <c r="H804" i="1"/>
  <c r="H254" i="1" s="1"/>
  <c r="F145" i="49"/>
  <c r="H806" i="1" s="1"/>
  <c r="H256" i="1" s="1"/>
  <c r="N960" i="1"/>
  <c r="AA135" i="49"/>
  <c r="N961" i="1" s="1"/>
  <c r="N1271" i="1" s="1"/>
  <c r="K959" i="1"/>
  <c r="X135" i="49"/>
  <c r="K961" i="1" s="1"/>
  <c r="K579" i="1" s="1"/>
  <c r="E469" i="36" s="1"/>
  <c r="F708" i="1"/>
  <c r="F158" i="1" s="1"/>
  <c r="H47" i="49"/>
  <c r="J708" i="1" s="1"/>
  <c r="J158" i="1" s="1"/>
  <c r="D50" i="49"/>
  <c r="F711" i="1" s="1"/>
  <c r="F161" i="1" s="1"/>
  <c r="L45" i="49"/>
  <c r="AB44" i="49"/>
  <c r="O870" i="1" s="1"/>
  <c r="L868" i="1"/>
  <c r="Y45" i="49"/>
  <c r="L871" i="1" s="1"/>
  <c r="N45" i="49"/>
  <c r="Z45" i="49"/>
  <c r="M871" i="1" s="1"/>
  <c r="K1252" i="1" s="1"/>
  <c r="E933" i="1"/>
  <c r="J110" i="49"/>
  <c r="E936" i="1" s="1"/>
  <c r="E573" i="1" s="1"/>
  <c r="F687" i="1"/>
  <c r="F137" i="1" s="1"/>
  <c r="D29" i="49"/>
  <c r="F690" i="1" s="1"/>
  <c r="F140" i="1" s="1"/>
  <c r="J844" i="1"/>
  <c r="W21" i="49"/>
  <c r="J847" i="1" s="1"/>
  <c r="J557" i="1" s="1"/>
  <c r="E361" i="36" s="1"/>
  <c r="J935" i="1"/>
  <c r="W110" i="49"/>
  <c r="J936" i="1" s="1"/>
  <c r="J573" i="1" s="1"/>
  <c r="E377" i="36" s="1"/>
  <c r="F29" i="49"/>
  <c r="H690" i="1" s="1"/>
  <c r="H140" i="1" s="1"/>
  <c r="H799" i="1"/>
  <c r="H249" i="1" s="1"/>
  <c r="F140" i="49"/>
  <c r="H801" i="1" s="1"/>
  <c r="H251" i="1" s="1"/>
  <c r="L959" i="1"/>
  <c r="Y135" i="49"/>
  <c r="L961" i="1" s="1"/>
  <c r="I953" i="1"/>
  <c r="U37" i="49"/>
  <c r="H99" i="49"/>
  <c r="J760" i="1" s="1"/>
  <c r="J210" i="1" s="1"/>
  <c r="E1263" i="1" s="1"/>
  <c r="G91" i="49"/>
  <c r="H91" i="49" s="1"/>
  <c r="S91" i="49"/>
  <c r="H917" i="1" s="1"/>
  <c r="H569" i="1" s="1"/>
  <c r="E200" i="36" s="1"/>
  <c r="F1316" i="1"/>
  <c r="F1298" i="1"/>
  <c r="E528" i="39" s="1"/>
  <c r="F117" i="22"/>
  <c r="G117" i="22" s="1"/>
  <c r="I117" i="22" s="1"/>
  <c r="K117" i="22" s="1"/>
  <c r="J973" i="1"/>
  <c r="W153" i="49"/>
  <c r="J979" i="1" s="1"/>
  <c r="J582" i="1" s="1"/>
  <c r="E386" i="36" s="1"/>
  <c r="H970" i="1"/>
  <c r="S145" i="49"/>
  <c r="H971" i="1" s="1"/>
  <c r="H581" i="1" s="1"/>
  <c r="E213" i="36" s="1"/>
  <c r="F970" i="1"/>
  <c r="K145" i="49"/>
  <c r="F971" i="1" s="1"/>
  <c r="F581" i="1" s="1"/>
  <c r="L969" i="1"/>
  <c r="Y145" i="49"/>
  <c r="L971" i="1" s="1"/>
  <c r="L581" i="1" s="1"/>
  <c r="E557" i="36" s="1"/>
  <c r="G873" i="1"/>
  <c r="H93" i="49"/>
  <c r="J754" i="1" s="1"/>
  <c r="J204" i="1" s="1"/>
  <c r="E770" i="1"/>
  <c r="E220" i="1" s="1"/>
  <c r="H109" i="49"/>
  <c r="J770" i="1" s="1"/>
  <c r="J220" i="1" s="1"/>
  <c r="C110" i="49"/>
  <c r="E771" i="1" s="1"/>
  <c r="E221" i="1" s="1"/>
  <c r="H16" i="49"/>
  <c r="AB16" i="49" s="1"/>
  <c r="O842" i="1" s="1"/>
  <c r="P21" i="49"/>
  <c r="F780" i="1"/>
  <c r="F230" i="1" s="1"/>
  <c r="D122" i="49"/>
  <c r="F783" i="1" s="1"/>
  <c r="F233" i="1" s="1"/>
  <c r="R117" i="49"/>
  <c r="V91" i="49"/>
  <c r="H94" i="49"/>
  <c r="J755" i="1" s="1"/>
  <c r="J205" i="1" s="1"/>
  <c r="X45" i="49"/>
  <c r="K871" i="1" s="1"/>
  <c r="I1252" i="1" s="1"/>
  <c r="G934" i="1"/>
  <c r="D130" i="49"/>
  <c r="F791" i="1" s="1"/>
  <c r="F241" i="1" s="1"/>
  <c r="Z91" i="49"/>
  <c r="M917" i="1" s="1"/>
  <c r="K1261" i="1" s="1"/>
  <c r="J122" i="49"/>
  <c r="E948" i="1" s="1"/>
  <c r="E576" i="1" s="1"/>
  <c r="S130" i="49"/>
  <c r="H956" i="1" s="1"/>
  <c r="H578" i="1" s="1"/>
  <c r="E210" i="36" s="1"/>
  <c r="I947" i="1"/>
  <c r="H685" i="1"/>
  <c r="H135" i="1" s="1"/>
  <c r="G817" i="1"/>
  <c r="G267" i="1" s="1"/>
  <c r="E161" i="49"/>
  <c r="G822" i="1" s="1"/>
  <c r="G272" i="1" s="1"/>
  <c r="V161" i="49"/>
  <c r="N978" i="1"/>
  <c r="AA153" i="49"/>
  <c r="N979" i="1" s="1"/>
  <c r="P582" i="1" s="1"/>
  <c r="E811" i="1"/>
  <c r="E261" i="1" s="1"/>
  <c r="H150" i="49"/>
  <c r="AB150" i="49" s="1"/>
  <c r="O976" i="1" s="1"/>
  <c r="H148" i="49"/>
  <c r="J809" i="1" s="1"/>
  <c r="J259" i="1" s="1"/>
  <c r="L60" i="49"/>
  <c r="F60" i="49"/>
  <c r="H721" i="1" s="1"/>
  <c r="H171" i="1" s="1"/>
  <c r="J919" i="1"/>
  <c r="W97" i="49"/>
  <c r="J923" i="1" s="1"/>
  <c r="J570" i="1" s="1"/>
  <c r="E374" i="36" s="1"/>
  <c r="E684" i="1"/>
  <c r="E134" i="1" s="1"/>
  <c r="H23" i="49"/>
  <c r="AB23" i="49" s="1"/>
  <c r="O849" i="1" s="1"/>
  <c r="F940" i="1"/>
  <c r="K117" i="49"/>
  <c r="F943" i="1" s="1"/>
  <c r="O91" i="49"/>
  <c r="Z169" i="49"/>
  <c r="M995" i="1" s="1"/>
  <c r="I942" i="1"/>
  <c r="H991" i="1"/>
  <c r="E824" i="1"/>
  <c r="E274" i="1" s="1"/>
  <c r="H163" i="49"/>
  <c r="J824" i="1" s="1"/>
  <c r="J274" i="1" s="1"/>
  <c r="C169" i="49"/>
  <c r="E830" i="1" s="1"/>
  <c r="E280" i="1" s="1"/>
  <c r="E903" i="1"/>
  <c r="J78" i="49"/>
  <c r="E904" i="1" s="1"/>
  <c r="E567" i="1" s="1"/>
  <c r="I736" i="1"/>
  <c r="I186" i="1" s="1"/>
  <c r="G78" i="49"/>
  <c r="I739" i="1" s="1"/>
  <c r="I189" i="1" s="1"/>
  <c r="H898" i="1"/>
  <c r="S73" i="49"/>
  <c r="H899" i="1" s="1"/>
  <c r="E198" i="36" s="1"/>
  <c r="Y73" i="49"/>
  <c r="L899" i="1" s="1"/>
  <c r="J1258" i="1" s="1"/>
  <c r="L897" i="1"/>
  <c r="N893" i="1"/>
  <c r="AA69" i="49"/>
  <c r="N895" i="1" s="1"/>
  <c r="P565" i="1" s="1"/>
  <c r="E893" i="1"/>
  <c r="J69" i="49"/>
  <c r="E895" i="1" s="1"/>
  <c r="E565" i="1" s="1"/>
  <c r="K890" i="1"/>
  <c r="X65" i="49"/>
  <c r="K891" i="1" s="1"/>
  <c r="D65" i="49"/>
  <c r="F726" i="1" s="1"/>
  <c r="F176" i="1" s="1"/>
  <c r="F725" i="1"/>
  <c r="F175" i="1" s="1"/>
  <c r="E717" i="1"/>
  <c r="E167" i="1" s="1"/>
  <c r="H56" i="49"/>
  <c r="AB56" i="49" s="1"/>
  <c r="O882" i="1" s="1"/>
  <c r="I1263" i="1"/>
  <c r="K571" i="1"/>
  <c r="E461" i="36" s="1"/>
  <c r="G915" i="1"/>
  <c r="M91" i="49"/>
  <c r="F843" i="1"/>
  <c r="K21" i="49"/>
  <c r="F847" i="1" s="1"/>
  <c r="F557" i="1" s="1"/>
  <c r="C97" i="49"/>
  <c r="E758" i="1" s="1"/>
  <c r="E208" i="1" s="1"/>
  <c r="I851" i="1"/>
  <c r="N927" i="1"/>
  <c r="AA105" i="49"/>
  <c r="N931" i="1" s="1"/>
  <c r="P572" i="1" s="1"/>
  <c r="H921" i="1"/>
  <c r="S97" i="49"/>
  <c r="H923" i="1" s="1"/>
  <c r="H570" i="1" s="1"/>
  <c r="E201" i="36" s="1"/>
  <c r="F921" i="1"/>
  <c r="K97" i="49"/>
  <c r="F923" i="1" s="1"/>
  <c r="F570" i="1" s="1"/>
  <c r="K919" i="1"/>
  <c r="X97" i="49"/>
  <c r="K923" i="1" s="1"/>
  <c r="K570" i="1" s="1"/>
  <c r="E460" i="36" s="1"/>
  <c r="O97" i="49"/>
  <c r="L914" i="1"/>
  <c r="Y91" i="49"/>
  <c r="L917" i="1" s="1"/>
  <c r="J1261" i="1" s="1"/>
  <c r="I912" i="1"/>
  <c r="U91" i="49"/>
  <c r="H743" i="1"/>
  <c r="H193" i="1" s="1"/>
  <c r="F83" i="49"/>
  <c r="H744" i="1" s="1"/>
  <c r="H194" i="1" s="1"/>
  <c r="J907" i="1"/>
  <c r="W83" i="49"/>
  <c r="J909" i="1" s="1"/>
  <c r="J568" i="1" s="1"/>
  <c r="E372" i="36" s="1"/>
  <c r="C83" i="49"/>
  <c r="E744" i="1" s="1"/>
  <c r="E194" i="1" s="1"/>
  <c r="E742" i="1"/>
  <c r="E192" i="1" s="1"/>
  <c r="H906" i="1"/>
  <c r="S83" i="49"/>
  <c r="H909" i="1" s="1"/>
  <c r="H568" i="1" s="1"/>
  <c r="K738" i="1"/>
  <c r="I78" i="49"/>
  <c r="K739" i="1" s="1"/>
  <c r="I487" i="1" s="1"/>
  <c r="J487" i="1" s="1"/>
  <c r="F1259" i="1" s="1"/>
  <c r="G902" i="1"/>
  <c r="K901" i="1"/>
  <c r="X78" i="49"/>
  <c r="K904" i="1" s="1"/>
  <c r="N898" i="1"/>
  <c r="AA73" i="49"/>
  <c r="N899" i="1" s="1"/>
  <c r="K897" i="1"/>
  <c r="X73" i="49"/>
  <c r="K899" i="1" s="1"/>
  <c r="K566" i="1" s="1"/>
  <c r="E456" i="36" s="1"/>
  <c r="F732" i="1"/>
  <c r="F182" i="1" s="1"/>
  <c r="D73" i="49"/>
  <c r="F734" i="1" s="1"/>
  <c r="F184" i="1" s="1"/>
  <c r="M893" i="1"/>
  <c r="Z69" i="49"/>
  <c r="M895" i="1" s="1"/>
  <c r="K1257" i="1" s="1"/>
  <c r="Q69" i="49"/>
  <c r="G893" i="1"/>
  <c r="H728" i="1"/>
  <c r="H178" i="1" s="1"/>
  <c r="F69" i="49"/>
  <c r="H730" i="1" s="1"/>
  <c r="H180" i="1" s="1"/>
  <c r="E725" i="1"/>
  <c r="E175" i="1" s="1"/>
  <c r="C65" i="49"/>
  <c r="E726" i="1" s="1"/>
  <c r="E176" i="1" s="1"/>
  <c r="F889" i="1"/>
  <c r="K65" i="49"/>
  <c r="F891" i="1" s="1"/>
  <c r="F564" i="1" s="1"/>
  <c r="G888" i="1"/>
  <c r="H723" i="1"/>
  <c r="H173" i="1" s="1"/>
  <c r="F65" i="49"/>
  <c r="H726" i="1" s="1"/>
  <c r="H176" i="1" s="1"/>
  <c r="H62" i="49"/>
  <c r="AB62" i="49" s="1"/>
  <c r="O888" i="1" s="1"/>
  <c r="E720" i="1"/>
  <c r="E170" i="1" s="1"/>
  <c r="H59" i="49"/>
  <c r="J720" i="1" s="1"/>
  <c r="J170" i="1" s="1"/>
  <c r="F884" i="1"/>
  <c r="K60" i="49"/>
  <c r="F886" i="1" s="1"/>
  <c r="F563" i="1" s="1"/>
  <c r="G718" i="1"/>
  <c r="G168" i="1" s="1"/>
  <c r="H57" i="49"/>
  <c r="J718" i="1" s="1"/>
  <c r="J168" i="1" s="1"/>
  <c r="Q169" i="49"/>
  <c r="G978" i="1"/>
  <c r="G977" i="1"/>
  <c r="N130" i="49"/>
  <c r="C122" i="49"/>
  <c r="E783" i="1" s="1"/>
  <c r="E233" i="1" s="1"/>
  <c r="G941" i="1"/>
  <c r="G938" i="1"/>
  <c r="G574" i="1" s="1"/>
  <c r="E120" i="36" s="1"/>
  <c r="I982" i="1"/>
  <c r="G955" i="1"/>
  <c r="I945" i="1"/>
  <c r="G945" i="1"/>
  <c r="I914" i="1"/>
  <c r="G913" i="1"/>
  <c r="S60" i="49"/>
  <c r="H886" i="1" s="1"/>
  <c r="H563" i="1" s="1"/>
  <c r="E195" i="36" s="1"/>
  <c r="I866" i="1"/>
  <c r="W29" i="49"/>
  <c r="J855" i="1" s="1"/>
  <c r="J558" i="1" s="1"/>
  <c r="E362" i="36" s="1"/>
  <c r="L29" i="49"/>
  <c r="G867" i="1"/>
  <c r="H132" i="49"/>
  <c r="J793" i="1" s="1"/>
  <c r="J243" i="1" s="1"/>
  <c r="Z110" i="49"/>
  <c r="M936" i="1" s="1"/>
  <c r="K1265" i="1" s="1"/>
  <c r="G916" i="1"/>
  <c r="G869" i="1"/>
  <c r="I868" i="1"/>
  <c r="G868" i="1"/>
  <c r="O29" i="49"/>
  <c r="G976" i="1"/>
  <c r="M97" i="49"/>
  <c r="Q97" i="49"/>
  <c r="G894" i="1"/>
  <c r="U69" i="49"/>
  <c r="L69" i="49"/>
  <c r="N65" i="49"/>
  <c r="F1297" i="1"/>
  <c r="E526" i="39" s="1"/>
  <c r="G925" i="1"/>
  <c r="G571" i="1" s="1"/>
  <c r="E117" i="36" s="1"/>
  <c r="I898" i="1"/>
  <c r="G897" i="1"/>
  <c r="P50" i="49"/>
  <c r="I1269" i="1"/>
  <c r="K577" i="1"/>
  <c r="E467" i="36" s="1"/>
  <c r="L930" i="1"/>
  <c r="Y105" i="49"/>
  <c r="L931" i="1" s="1"/>
  <c r="J703" i="1"/>
  <c r="J153" i="1" s="1"/>
  <c r="AB42" i="49"/>
  <c r="O868" i="1" s="1"/>
  <c r="K110" i="49"/>
  <c r="F936" i="1" s="1"/>
  <c r="F573" i="1" s="1"/>
  <c r="F934" i="1"/>
  <c r="J911" i="1"/>
  <c r="W91" i="49"/>
  <c r="J917" i="1" s="1"/>
  <c r="J569" i="1" s="1"/>
  <c r="E373" i="36" s="1"/>
  <c r="G743" i="1"/>
  <c r="G193" i="1" s="1"/>
  <c r="E83" i="49"/>
  <c r="G744" i="1" s="1"/>
  <c r="G194" i="1" s="1"/>
  <c r="N83" i="49"/>
  <c r="G907" i="1"/>
  <c r="N934" i="1"/>
  <c r="AA110" i="49"/>
  <c r="N936" i="1" s="1"/>
  <c r="N1265" i="1" s="1"/>
  <c r="M978" i="1"/>
  <c r="Z153" i="49"/>
  <c r="M979" i="1" s="1"/>
  <c r="K1274" i="1" s="1"/>
  <c r="H942" i="1"/>
  <c r="S117" i="49"/>
  <c r="H943" i="1" s="1"/>
  <c r="E207" i="36" s="1"/>
  <c r="G787" i="1"/>
  <c r="G237" i="1" s="1"/>
  <c r="E130" i="49"/>
  <c r="G791" i="1" s="1"/>
  <c r="G241" i="1" s="1"/>
  <c r="K775" i="1"/>
  <c r="I117" i="49"/>
  <c r="K778" i="1" s="1"/>
  <c r="I488" i="1" s="1"/>
  <c r="J488" i="1" s="1"/>
  <c r="F1267" i="1" s="1"/>
  <c r="R91" i="49"/>
  <c r="G912" i="1"/>
  <c r="I700" i="1"/>
  <c r="I150" i="1" s="1"/>
  <c r="H39" i="49"/>
  <c r="J700" i="1" s="1"/>
  <c r="J150" i="1" s="1"/>
  <c r="L83" i="49"/>
  <c r="I907" i="1"/>
  <c r="K562" i="1"/>
  <c r="E452" i="36" s="1"/>
  <c r="G933" i="1"/>
  <c r="G790" i="1"/>
  <c r="G240" i="1" s="1"/>
  <c r="H129" i="49"/>
  <c r="J790" i="1" s="1"/>
  <c r="J240" i="1" s="1"/>
  <c r="Y122" i="49"/>
  <c r="L948" i="1" s="1"/>
  <c r="E552" i="36" s="1"/>
  <c r="K913" i="1"/>
  <c r="X91" i="49"/>
  <c r="K917" i="1" s="1"/>
  <c r="R60" i="49"/>
  <c r="E881" i="1"/>
  <c r="J60" i="49"/>
  <c r="E886" i="1" s="1"/>
  <c r="E563" i="1" s="1"/>
  <c r="W130" i="49"/>
  <c r="J956" i="1" s="1"/>
  <c r="J578" i="1" s="1"/>
  <c r="E382" i="36" s="1"/>
  <c r="Y130" i="49"/>
  <c r="L956" i="1" s="1"/>
  <c r="J1270" i="1" s="1"/>
  <c r="R37" i="49"/>
  <c r="U83" i="49"/>
  <c r="J37" i="49"/>
  <c r="E863" i="1" s="1"/>
  <c r="E559" i="1" s="1"/>
  <c r="N91" i="49"/>
  <c r="G908" i="1"/>
  <c r="W161" i="49"/>
  <c r="J987" i="1" s="1"/>
  <c r="J583" i="1" s="1"/>
  <c r="E387" i="36" s="1"/>
  <c r="D169" i="49"/>
  <c r="F830" i="1" s="1"/>
  <c r="F280" i="1" s="1"/>
  <c r="AA97" i="49"/>
  <c r="N923" i="1" s="1"/>
  <c r="N1262" i="1" s="1"/>
  <c r="H82" i="49"/>
  <c r="F818" i="1"/>
  <c r="F268" i="1" s="1"/>
  <c r="H157" i="49"/>
  <c r="J818" i="1" s="1"/>
  <c r="J268" i="1" s="1"/>
  <c r="D161" i="49"/>
  <c r="F822" i="1" s="1"/>
  <c r="F272" i="1" s="1"/>
  <c r="K955" i="1"/>
  <c r="X130" i="49"/>
  <c r="K956" i="1" s="1"/>
  <c r="I1270" i="1" s="1"/>
  <c r="AA91" i="49"/>
  <c r="N917" i="1" s="1"/>
  <c r="N915" i="1"/>
  <c r="F804" i="1"/>
  <c r="F254" i="1" s="1"/>
  <c r="H143" i="49"/>
  <c r="J804" i="1" s="1"/>
  <c r="J254" i="1" s="1"/>
  <c r="E789" i="1"/>
  <c r="E239" i="1" s="1"/>
  <c r="H128" i="49"/>
  <c r="J789" i="1" s="1"/>
  <c r="J239" i="1" s="1"/>
  <c r="C130" i="49"/>
  <c r="E791" i="1" s="1"/>
  <c r="E241" i="1" s="1"/>
  <c r="K130" i="49"/>
  <c r="F956" i="1" s="1"/>
  <c r="F953" i="1"/>
  <c r="E105" i="49"/>
  <c r="G766" i="1" s="1"/>
  <c r="G216" i="1" s="1"/>
  <c r="F113" i="22"/>
  <c r="G113" i="22" s="1"/>
  <c r="I113" i="22" s="1"/>
  <c r="K113" i="22" s="1"/>
  <c r="F1292" i="1"/>
  <c r="G819" i="1"/>
  <c r="G269" i="1" s="1"/>
  <c r="H158" i="49"/>
  <c r="AB158" i="49" s="1"/>
  <c r="O984" i="1" s="1"/>
  <c r="E795" i="1"/>
  <c r="E245" i="1" s="1"/>
  <c r="C135" i="49"/>
  <c r="E796" i="1" s="1"/>
  <c r="E246" i="1" s="1"/>
  <c r="H134" i="49"/>
  <c r="M958" i="1"/>
  <c r="Z135" i="49"/>
  <c r="M961" i="1" s="1"/>
  <c r="M579" i="1" s="1"/>
  <c r="E641" i="36" s="1"/>
  <c r="AA37" i="49"/>
  <c r="N863" i="1" s="1"/>
  <c r="P559" i="1" s="1"/>
  <c r="N857" i="1"/>
  <c r="K854" i="1"/>
  <c r="X29" i="49"/>
  <c r="K855" i="1" s="1"/>
  <c r="K558" i="1" s="1"/>
  <c r="E448" i="36" s="1"/>
  <c r="H152" i="49"/>
  <c r="AB152" i="49" s="1"/>
  <c r="O978" i="1" s="1"/>
  <c r="H104" i="49"/>
  <c r="Q117" i="49"/>
  <c r="H964" i="1"/>
  <c r="S140" i="49"/>
  <c r="H966" i="1" s="1"/>
  <c r="H580" i="1" s="1"/>
  <c r="E212" i="36" s="1"/>
  <c r="M577" i="1"/>
  <c r="E639" i="36" s="1"/>
  <c r="K1269" i="1"/>
  <c r="F757" i="1"/>
  <c r="F207" i="1" s="1"/>
  <c r="H96" i="49"/>
  <c r="D97" i="49"/>
  <c r="F758" i="1" s="1"/>
  <c r="F208" i="1" s="1"/>
  <c r="I921" i="1"/>
  <c r="V97" i="49"/>
  <c r="H754" i="1"/>
  <c r="H204" i="1" s="1"/>
  <c r="F97" i="49"/>
  <c r="H758" i="1" s="1"/>
  <c r="H208" i="1" s="1"/>
  <c r="F729" i="1"/>
  <c r="F179" i="1" s="1"/>
  <c r="D69" i="49"/>
  <c r="F730" i="1" s="1"/>
  <c r="F180" i="1" s="1"/>
  <c r="H68" i="49"/>
  <c r="AB68" i="49" s="1"/>
  <c r="O894" i="1" s="1"/>
  <c r="M890" i="1"/>
  <c r="Z65" i="49"/>
  <c r="M891" i="1" s="1"/>
  <c r="M564" i="1" s="1"/>
  <c r="E626" i="36" s="1"/>
  <c r="G890" i="1"/>
  <c r="Q65" i="49"/>
  <c r="H725" i="1"/>
  <c r="H175" i="1" s="1"/>
  <c r="H64" i="49"/>
  <c r="AB64" i="49" s="1"/>
  <c r="O890" i="1" s="1"/>
  <c r="J889" i="1"/>
  <c r="W65" i="49"/>
  <c r="J891" i="1" s="1"/>
  <c r="J564" i="1" s="1"/>
  <c r="E368" i="36" s="1"/>
  <c r="F764" i="1"/>
  <c r="F214" i="1" s="1"/>
  <c r="H103" i="49"/>
  <c r="J764" i="1" s="1"/>
  <c r="J214" i="1" s="1"/>
  <c r="V105" i="49"/>
  <c r="I928" i="1"/>
  <c r="S105" i="49"/>
  <c r="H931" i="1" s="1"/>
  <c r="H572" i="1" s="1"/>
  <c r="E204" i="36" s="1"/>
  <c r="H927" i="1"/>
  <c r="J902" i="1"/>
  <c r="W78" i="49"/>
  <c r="J904" i="1" s="1"/>
  <c r="J567" i="1" s="1"/>
  <c r="E371" i="36" s="1"/>
  <c r="H732" i="1"/>
  <c r="H182" i="1" s="1"/>
  <c r="H71" i="49"/>
  <c r="F73" i="49"/>
  <c r="H734" i="1" s="1"/>
  <c r="H184" i="1" s="1"/>
  <c r="J875" i="1"/>
  <c r="W50" i="49"/>
  <c r="J876" i="1" s="1"/>
  <c r="G875" i="1"/>
  <c r="N50" i="49"/>
  <c r="L873" i="1"/>
  <c r="Y50" i="49"/>
  <c r="L876" i="1" s="1"/>
  <c r="L561" i="1" s="1"/>
  <c r="E537" i="36" s="1"/>
  <c r="G859" i="1"/>
  <c r="N37" i="49"/>
  <c r="E694" i="1"/>
  <c r="E144" i="1" s="1"/>
  <c r="C37" i="49"/>
  <c r="E698" i="1" s="1"/>
  <c r="E148" i="1" s="1"/>
  <c r="C29" i="49"/>
  <c r="E690" i="1" s="1"/>
  <c r="E140" i="1" s="1"/>
  <c r="J853" i="1"/>
  <c r="G994" i="1"/>
  <c r="I889" i="1"/>
  <c r="I983" i="1"/>
  <c r="G881" i="1"/>
  <c r="AB85" i="49"/>
  <c r="O911" i="1" s="1"/>
  <c r="J746" i="1"/>
  <c r="J196" i="1" s="1"/>
  <c r="J737" i="1"/>
  <c r="J187" i="1" s="1"/>
  <c r="AB76" i="49"/>
  <c r="O902" i="1" s="1"/>
  <c r="J1266" i="1"/>
  <c r="L574" i="1"/>
  <c r="E550" i="36" s="1"/>
  <c r="I1266" i="1"/>
  <c r="K574" i="1"/>
  <c r="E464" i="36" s="1"/>
  <c r="G989" i="1"/>
  <c r="N153" i="49"/>
  <c r="V145" i="49"/>
  <c r="M145" i="49"/>
  <c r="G958" i="1"/>
  <c r="G952" i="1"/>
  <c r="I911" i="1"/>
  <c r="I974" i="1"/>
  <c r="M140" i="49"/>
  <c r="H137" i="49"/>
  <c r="J798" i="1" s="1"/>
  <c r="J248" i="1" s="1"/>
  <c r="G858" i="1"/>
  <c r="AB86" i="49"/>
  <c r="O912" i="1" s="1"/>
  <c r="I986" i="1"/>
  <c r="Q153" i="49"/>
  <c r="L153" i="49"/>
  <c r="U97" i="49"/>
  <c r="I991" i="1"/>
  <c r="G986" i="1"/>
  <c r="I978" i="1"/>
  <c r="I977" i="1"/>
  <c r="M130" i="49"/>
  <c r="G954" i="1"/>
  <c r="I893" i="1"/>
  <c r="M169" i="49"/>
  <c r="G985" i="1"/>
  <c r="G984" i="1"/>
  <c r="H81" i="49"/>
  <c r="I975" i="1"/>
  <c r="I925" i="1"/>
  <c r="E505" i="39"/>
  <c r="O1290" i="1"/>
  <c r="A785" i="36"/>
  <c r="A783" i="36"/>
  <c r="A784" i="36"/>
  <c r="A780" i="36"/>
  <c r="A781" i="36"/>
  <c r="A779" i="36"/>
  <c r="E495" i="39"/>
  <c r="H1309" i="1"/>
  <c r="O1309" i="1" s="1"/>
  <c r="Q618" i="1"/>
  <c r="E134" i="36"/>
  <c r="Q590" i="1"/>
  <c r="F1302" i="1"/>
  <c r="E536" i="39" s="1"/>
  <c r="F119" i="22"/>
  <c r="G119" i="22" s="1"/>
  <c r="I119" i="22" s="1"/>
  <c r="K119" i="22" s="1"/>
  <c r="F84" i="22"/>
  <c r="G84" i="22" s="1"/>
  <c r="I84" i="22" s="1"/>
  <c r="K84" i="22" s="1"/>
  <c r="E1283" i="1"/>
  <c r="A821" i="36"/>
  <c r="N989" i="1"/>
  <c r="AA169" i="49"/>
  <c r="N995" i="1" s="1"/>
  <c r="I960" i="1"/>
  <c r="V135" i="49"/>
  <c r="E958" i="1"/>
  <c r="J135" i="49"/>
  <c r="E961" i="1" s="1"/>
  <c r="H787" i="1"/>
  <c r="H237" i="1" s="1"/>
  <c r="F130" i="49"/>
  <c r="H791" i="1" s="1"/>
  <c r="H241" i="1" s="1"/>
  <c r="L577" i="1"/>
  <c r="J1269" i="1"/>
  <c r="Q596" i="1"/>
  <c r="E140" i="36"/>
  <c r="E521" i="39"/>
  <c r="O1295" i="1"/>
  <c r="H1243" i="1"/>
  <c r="E42" i="22"/>
  <c r="Q617" i="1"/>
  <c r="G1305" i="1"/>
  <c r="Q614" i="1"/>
  <c r="E327" i="36"/>
  <c r="H1302" i="1"/>
  <c r="Q611" i="1"/>
  <c r="E399" i="36"/>
  <c r="H1288" i="1"/>
  <c r="D110" i="49"/>
  <c r="F771" i="1" s="1"/>
  <c r="F221" i="1" s="1"/>
  <c r="H1301" i="1"/>
  <c r="O1301" i="1" s="1"/>
  <c r="G1278" i="1"/>
  <c r="O1278" i="1" s="1"/>
  <c r="E485" i="39"/>
  <c r="F235" i="22"/>
  <c r="G235" i="22" s="1"/>
  <c r="I235" i="22" s="1"/>
  <c r="K235" i="22" s="1"/>
  <c r="I1050" i="1"/>
  <c r="E1085" i="1"/>
  <c r="I806" i="36" s="1"/>
  <c r="I810" i="36" s="1"/>
  <c r="I1085" i="1"/>
  <c r="I1024" i="1"/>
  <c r="E163" i="36"/>
  <c r="G1310" i="1"/>
  <c r="E318" i="36"/>
  <c r="H1293" i="1"/>
  <c r="Q598" i="1"/>
  <c r="E139" i="36"/>
  <c r="Q595" i="1"/>
  <c r="G1286" i="1"/>
  <c r="E222" i="36"/>
  <c r="G1283" i="1"/>
  <c r="J537" i="1"/>
  <c r="E538" i="1"/>
  <c r="D21" i="22"/>
  <c r="F21" i="22" s="1"/>
  <c r="E513" i="39"/>
  <c r="E44" i="22"/>
  <c r="J6" i="39"/>
  <c r="E159" i="36"/>
  <c r="Q615" i="1"/>
  <c r="G1306" i="1"/>
  <c r="O1306" i="1" s="1"/>
  <c r="L991" i="1"/>
  <c r="Y169" i="49"/>
  <c r="L995" i="1" s="1"/>
  <c r="L584" i="1" s="1"/>
  <c r="E560" i="36" s="1"/>
  <c r="M1327" i="1"/>
  <c r="Q616" i="1"/>
  <c r="E146" i="36"/>
  <c r="Q602" i="1"/>
  <c r="E95" i="36"/>
  <c r="Q548" i="1"/>
  <c r="N97" i="49"/>
  <c r="M882" i="1"/>
  <c r="Z60" i="49"/>
  <c r="M886" i="1" s="1"/>
  <c r="M563" i="1" s="1"/>
  <c r="E625" i="36" s="1"/>
  <c r="H697" i="1"/>
  <c r="H147" i="1" s="1"/>
  <c r="H36" i="49"/>
  <c r="G689" i="1"/>
  <c r="G139" i="1" s="1"/>
  <c r="H28" i="49"/>
  <c r="J689" i="1" s="1"/>
  <c r="J139" i="1" s="1"/>
  <c r="H852" i="1"/>
  <c r="S29" i="49"/>
  <c r="H855" i="1" s="1"/>
  <c r="H558" i="1" s="1"/>
  <c r="E190" i="36" s="1"/>
  <c r="G851" i="1"/>
  <c r="R29" i="49"/>
  <c r="E140" i="49"/>
  <c r="G801" i="1" s="1"/>
  <c r="G251" i="1" s="1"/>
  <c r="X169" i="49"/>
  <c r="K995" i="1" s="1"/>
  <c r="E145" i="49"/>
  <c r="G806" i="1" s="1"/>
  <c r="G256" i="1" s="1"/>
  <c r="A776" i="36"/>
  <c r="E551" i="39"/>
  <c r="O1321" i="1"/>
  <c r="E507" i="39"/>
  <c r="O1291" i="1"/>
  <c r="M1022" i="1"/>
  <c r="F1024" i="1"/>
  <c r="M1012" i="1"/>
  <c r="E150" i="36"/>
  <c r="G1297" i="1"/>
  <c r="Q603" i="1"/>
  <c r="E233" i="36"/>
  <c r="G1294" i="1"/>
  <c r="E356" i="36"/>
  <c r="H1244" i="1"/>
  <c r="O1244" i="1" s="1"/>
  <c r="G1242" i="1"/>
  <c r="E352" i="36"/>
  <c r="H1240" i="1"/>
  <c r="I74" i="1"/>
  <c r="E755" i="36"/>
  <c r="A755" i="36" s="1"/>
  <c r="E432" i="36"/>
  <c r="E158" i="36"/>
  <c r="Q597" i="1"/>
  <c r="G1288" i="1"/>
  <c r="O1288" i="1" s="1"/>
  <c r="E1240" i="1"/>
  <c r="F70" i="22"/>
  <c r="G70" i="22" s="1"/>
  <c r="I70" i="22" s="1"/>
  <c r="K70" i="22" s="1"/>
  <c r="N1023" i="1"/>
  <c r="A814" i="36"/>
  <c r="E340" i="36"/>
  <c r="H1315" i="1"/>
  <c r="O1315" i="1" s="1"/>
  <c r="Q624" i="1"/>
  <c r="Q622" i="1"/>
  <c r="E166" i="36"/>
  <c r="G1313" i="1"/>
  <c r="O1313" i="1" s="1"/>
  <c r="E407" i="36"/>
  <c r="H1296" i="1"/>
  <c r="Q589" i="1"/>
  <c r="E811" i="36" s="1"/>
  <c r="E813" i="36" s="1"/>
  <c r="L813" i="36" s="1"/>
  <c r="A813" i="36" s="1"/>
  <c r="G1280" i="1"/>
  <c r="E101" i="36"/>
  <c r="Q554" i="1"/>
  <c r="G1247" i="1"/>
  <c r="O1307" i="1"/>
  <c r="E917" i="36"/>
  <c r="A917" i="36" s="1"/>
  <c r="A863" i="36"/>
  <c r="A866" i="36"/>
  <c r="A864" i="36"/>
  <c r="A84" i="36"/>
  <c r="A82" i="36"/>
  <c r="M1085" i="1"/>
  <c r="F187" i="22" s="1"/>
  <c r="G187" i="22" s="1"/>
  <c r="I187" i="22" s="1"/>
  <c r="K187" i="22" s="1"/>
  <c r="E923" i="36"/>
  <c r="A923" i="36" s="1"/>
  <c r="A919" i="36" s="1"/>
  <c r="G1308" i="1"/>
  <c r="O1308" i="1" s="1"/>
  <c r="O1304" i="1"/>
  <c r="E1296" i="1"/>
  <c r="F200" i="22"/>
  <c r="G200" i="22" s="1"/>
  <c r="I200" i="22" s="1"/>
  <c r="K200" i="22" s="1"/>
  <c r="A898" i="36"/>
  <c r="A896" i="36"/>
  <c r="A899" i="36" s="1"/>
  <c r="A897" i="36"/>
  <c r="E427" i="36"/>
  <c r="H1316" i="1"/>
  <c r="O1316" i="1" s="1"/>
  <c r="E307" i="36"/>
  <c r="H1282" i="1"/>
  <c r="Q555" i="1"/>
  <c r="E102" i="36"/>
  <c r="E23" i="39"/>
  <c r="J90" i="1"/>
  <c r="A772" i="36"/>
  <c r="E334" i="36"/>
  <c r="A83" i="36"/>
  <c r="E821" i="1"/>
  <c r="E271" i="1" s="1"/>
  <c r="C161" i="49"/>
  <c r="E535" i="39"/>
  <c r="O1302" i="1"/>
  <c r="E396" i="36"/>
  <c r="H1285" i="1"/>
  <c r="O1285" i="1" s="1"/>
  <c r="E525" i="39"/>
  <c r="O1297" i="1"/>
  <c r="C140" i="49"/>
  <c r="E801" i="1" s="1"/>
  <c r="E251" i="1" s="1"/>
  <c r="E533" i="39"/>
  <c r="E165" i="36"/>
  <c r="Q621" i="1"/>
  <c r="G1312" i="1"/>
  <c r="O1312" i="1" s="1"/>
  <c r="O1311" i="1"/>
  <c r="H1289" i="1"/>
  <c r="F255" i="22"/>
  <c r="G255" i="22" s="1"/>
  <c r="I255" i="22" s="1"/>
  <c r="K255" i="22" s="1"/>
  <c r="E894" i="36"/>
  <c r="A894" i="36" s="1"/>
  <c r="I1184" i="1"/>
  <c r="J1184" i="1" s="1"/>
  <c r="J1176" i="1"/>
  <c r="I1132" i="1"/>
  <c r="I1177" i="1" s="1"/>
  <c r="J1177" i="1" s="1"/>
  <c r="J1099" i="1"/>
  <c r="Q630" i="1"/>
  <c r="E174" i="36"/>
  <c r="I919" i="1"/>
  <c r="A81" i="36"/>
  <c r="E555" i="39"/>
  <c r="O1324" i="1"/>
  <c r="E1310" i="1"/>
  <c r="O1310" i="1" s="1"/>
  <c r="H1294" i="1"/>
  <c r="G1293" i="1"/>
  <c r="O1293" i="1" s="1"/>
  <c r="G1287" i="1"/>
  <c r="E175" i="36"/>
  <c r="G1325" i="1"/>
  <c r="Q631" i="1"/>
  <c r="Q627" i="1"/>
  <c r="E157" i="36"/>
  <c r="Q609" i="1"/>
  <c r="G1300" i="1"/>
  <c r="O1300" i="1" s="1"/>
  <c r="Q608" i="1"/>
  <c r="E152" i="36"/>
  <c r="G1299" i="1"/>
  <c r="G1289" i="1"/>
  <c r="E312" i="36"/>
  <c r="H1287" i="1"/>
  <c r="E138" i="36"/>
  <c r="Q594" i="1"/>
  <c r="E390" i="36"/>
  <c r="Q588" i="1"/>
  <c r="H1279" i="1"/>
  <c r="E547" i="39"/>
  <c r="O1319" i="1"/>
  <c r="E911" i="36"/>
  <c r="A911" i="36" s="1"/>
  <c r="J290" i="1"/>
  <c r="I296" i="1"/>
  <c r="J296" i="1" s="1"/>
  <c r="F101" i="22"/>
  <c r="G101" i="22" s="1"/>
  <c r="I101" i="22" s="1"/>
  <c r="K101" i="22" s="1"/>
  <c r="E333" i="36"/>
  <c r="A31" i="36"/>
  <c r="I993" i="1"/>
  <c r="E151" i="36"/>
  <c r="Q607" i="1"/>
  <c r="Q605" i="1"/>
  <c r="E842" i="36" s="1"/>
  <c r="E145" i="36"/>
  <c r="Q601" i="1"/>
  <c r="Q553" i="1"/>
  <c r="E100" i="36"/>
  <c r="I320" i="1"/>
  <c r="J320" i="1" s="1"/>
  <c r="E22" i="39"/>
  <c r="J82" i="1"/>
  <c r="J52" i="1"/>
  <c r="J27" i="1"/>
  <c r="F85" i="22"/>
  <c r="G85" i="22" s="1"/>
  <c r="I85" i="22" s="1"/>
  <c r="K85" i="22" s="1"/>
  <c r="F77" i="22"/>
  <c r="G77" i="22" s="1"/>
  <c r="I77" i="22" s="1"/>
  <c r="K77" i="22" s="1"/>
  <c r="E394" i="36"/>
  <c r="H1325" i="1"/>
  <c r="E1318" i="1"/>
  <c r="G1317" i="1"/>
  <c r="O1317" i="1" s="1"/>
  <c r="O1289" i="1"/>
  <c r="H1247" i="1"/>
  <c r="D41" i="22"/>
  <c r="E41" i="22" s="1"/>
  <c r="F226" i="22"/>
  <c r="G226" i="22" s="1"/>
  <c r="I226" i="22" s="1"/>
  <c r="K226" i="22" s="1"/>
  <c r="F198" i="22"/>
  <c r="G198" i="22" s="1"/>
  <c r="I198" i="22" s="1"/>
  <c r="K198" i="22" s="1"/>
  <c r="L1024" i="1"/>
  <c r="Q628" i="1"/>
  <c r="Q626" i="1"/>
  <c r="E153" i="36"/>
  <c r="J472" i="1"/>
  <c r="C12" i="22"/>
  <c r="F12" i="22" s="1"/>
  <c r="F79" i="22"/>
  <c r="G79" i="22" s="1"/>
  <c r="I79" i="22" s="1"/>
  <c r="K79" i="22" s="1"/>
  <c r="E794" i="36"/>
  <c r="A794" i="36" s="1"/>
  <c r="O105" i="49"/>
  <c r="E1323" i="1"/>
  <c r="F1320" i="1"/>
  <c r="E550" i="39" s="1"/>
  <c r="O1305" i="1"/>
  <c r="E1303" i="1"/>
  <c r="O1303" i="1" s="1"/>
  <c r="O1299" i="1"/>
  <c r="O1286" i="1"/>
  <c r="F1280" i="1"/>
  <c r="E544" i="39" s="1"/>
  <c r="E167" i="36"/>
  <c r="Q623" i="1"/>
  <c r="Q587" i="1"/>
  <c r="Q550" i="1"/>
  <c r="J304" i="1"/>
  <c r="E25" i="36"/>
  <c r="A25" i="36" s="1"/>
  <c r="A23" i="36" s="1"/>
  <c r="J40" i="1"/>
  <c r="J35" i="1"/>
  <c r="F186" i="22"/>
  <c r="G186" i="22" s="1"/>
  <c r="A878" i="36"/>
  <c r="A881" i="36"/>
  <c r="O169" i="49"/>
  <c r="G960" i="1"/>
  <c r="F196" i="22"/>
  <c r="G196" i="22" s="1"/>
  <c r="I196" i="22" s="1"/>
  <c r="K196" i="22" s="1"/>
  <c r="E173" i="36"/>
  <c r="Q629" i="1"/>
  <c r="F203" i="22"/>
  <c r="G203" i="22" s="1"/>
  <c r="I203" i="22" s="1"/>
  <c r="K203" i="22" s="1"/>
  <c r="X161" i="49"/>
  <c r="K987" i="1" s="1"/>
  <c r="M153" i="49"/>
  <c r="H1314" i="1"/>
  <c r="O1314" i="1" s="1"/>
  <c r="F8" i="39"/>
  <c r="E801" i="36"/>
  <c r="E149" i="36"/>
  <c r="E143" i="36"/>
  <c r="Q599" i="1"/>
  <c r="E132" i="36"/>
  <c r="E98" i="36"/>
  <c r="Q547" i="1"/>
  <c r="E97" i="36"/>
  <c r="F7" i="39"/>
  <c r="F10" i="39" s="1"/>
  <c r="F14" i="39" s="1"/>
  <c r="F16" i="39" s="1"/>
  <c r="E800" i="36"/>
  <c r="E803" i="36" s="1"/>
  <c r="A803" i="36" s="1"/>
  <c r="E160" i="36"/>
  <c r="E141" i="36"/>
  <c r="E135" i="36"/>
  <c r="Q591" i="1"/>
  <c r="E96" i="36"/>
  <c r="Q549" i="1"/>
  <c r="J44" i="1"/>
  <c r="E790" i="36"/>
  <c r="A790" i="36" s="1"/>
  <c r="J147" i="29"/>
  <c r="AD147" i="29" s="1"/>
  <c r="E153" i="29"/>
  <c r="AD145" i="29"/>
  <c r="J20" i="22"/>
  <c r="J21" i="22" s="1"/>
  <c r="C24" i="22" s="1"/>
  <c r="E775" i="36"/>
  <c r="A775" i="36" s="1"/>
  <c r="A72" i="36"/>
  <c r="A57" i="36"/>
  <c r="Z145" i="49"/>
  <c r="M971" i="1" s="1"/>
  <c r="M970" i="1"/>
  <c r="E99" i="36"/>
  <c r="A875" i="36"/>
  <c r="A75" i="36"/>
  <c r="G865" i="1"/>
  <c r="AA161" i="49"/>
  <c r="N987" i="1" s="1"/>
  <c r="N1275" i="1" s="1"/>
  <c r="P161" i="49"/>
  <c r="G935" i="1"/>
  <c r="Q91" i="49"/>
  <c r="L91" i="49"/>
  <c r="Q45" i="49"/>
  <c r="U130" i="49"/>
  <c r="K170" i="29"/>
  <c r="P170" i="29"/>
  <c r="AD50" i="29"/>
  <c r="O69" i="29"/>
  <c r="AD67" i="29"/>
  <c r="X170" i="29"/>
  <c r="A34" i="36"/>
  <c r="F135" i="49"/>
  <c r="H796" i="1" s="1"/>
  <c r="H246" i="1" s="1"/>
  <c r="R130" i="49"/>
  <c r="G930" i="1"/>
  <c r="G849" i="1"/>
  <c r="J110" i="29"/>
  <c r="AD110" i="29" s="1"/>
  <c r="A58" i="36"/>
  <c r="A44" i="36"/>
  <c r="H166" i="49"/>
  <c r="H156" i="49"/>
  <c r="J817" i="1" s="1"/>
  <c r="J267" i="1" s="1"/>
  <c r="I976" i="1"/>
  <c r="Q145" i="49"/>
  <c r="I965" i="1"/>
  <c r="G953" i="1"/>
  <c r="P69" i="49"/>
  <c r="F60" i="29"/>
  <c r="J60" i="29" s="1"/>
  <c r="AD60" i="29" s="1"/>
  <c r="J54" i="29"/>
  <c r="AD54" i="29" s="1"/>
  <c r="G959" i="1"/>
  <c r="H114" i="49"/>
  <c r="AD130" i="29"/>
  <c r="Y170" i="29"/>
  <c r="U169" i="49"/>
  <c r="H160" i="49"/>
  <c r="M161" i="49"/>
  <c r="R153" i="49"/>
  <c r="G942" i="1"/>
  <c r="N78" i="49"/>
  <c r="G898" i="1"/>
  <c r="G870" i="1"/>
  <c r="O130" i="49"/>
  <c r="J140" i="29"/>
  <c r="AD140" i="29" s="1"/>
  <c r="J122" i="29"/>
  <c r="AD122" i="29" s="1"/>
  <c r="AD105" i="29"/>
  <c r="N170" i="29"/>
  <c r="S70" i="53"/>
  <c r="P117" i="49"/>
  <c r="G929" i="1"/>
  <c r="I916" i="1"/>
  <c r="I883" i="1"/>
  <c r="AB41" i="49"/>
  <c r="O867" i="1" s="1"/>
  <c r="I853" i="1"/>
  <c r="M21" i="49"/>
  <c r="F21" i="29"/>
  <c r="S110" i="49"/>
  <c r="H936" i="1" s="1"/>
  <c r="E205" i="36" s="1"/>
  <c r="P91" i="49"/>
  <c r="Z161" i="49"/>
  <c r="M987" i="1" s="1"/>
  <c r="M981" i="1"/>
  <c r="G812" i="1"/>
  <c r="G262" i="1" s="1"/>
  <c r="H151" i="49"/>
  <c r="E965" i="1"/>
  <c r="J140" i="49"/>
  <c r="E966" i="1" s="1"/>
  <c r="I963" i="1"/>
  <c r="V140" i="49"/>
  <c r="E929" i="1"/>
  <c r="J105" i="49"/>
  <c r="E931" i="1" s="1"/>
  <c r="G927" i="1"/>
  <c r="R105" i="49"/>
  <c r="N884" i="1"/>
  <c r="AA60" i="49"/>
  <c r="N886" i="1" s="1"/>
  <c r="O161" i="49"/>
  <c r="C145" i="49"/>
  <c r="H144" i="49"/>
  <c r="E805" i="1"/>
  <c r="E255" i="1" s="1"/>
  <c r="G963" i="1"/>
  <c r="N140" i="49"/>
  <c r="H101" i="49"/>
  <c r="C105" i="49"/>
  <c r="E762" i="1"/>
  <c r="E212" i="1" s="1"/>
  <c r="L885" i="1"/>
  <c r="Y60" i="49"/>
  <c r="L886" i="1" s="1"/>
  <c r="I884" i="1"/>
  <c r="U60" i="49"/>
  <c r="N60" i="49"/>
  <c r="G883" i="1"/>
  <c r="Q60" i="49"/>
  <c r="G880" i="1"/>
  <c r="P562" i="1"/>
  <c r="N1254" i="1"/>
  <c r="N873" i="1"/>
  <c r="AA50" i="49"/>
  <c r="N876" i="1" s="1"/>
  <c r="G45" i="49"/>
  <c r="H40" i="49"/>
  <c r="I701" i="1"/>
  <c r="I151" i="1" s="1"/>
  <c r="M854" i="1"/>
  <c r="Z29" i="49"/>
  <c r="G853" i="1"/>
  <c r="N29" i="49"/>
  <c r="G852" i="1"/>
  <c r="F850" i="1"/>
  <c r="K29" i="49"/>
  <c r="G841" i="1"/>
  <c r="I981" i="1"/>
  <c r="U161" i="49"/>
  <c r="G970" i="1"/>
  <c r="L145" i="49"/>
  <c r="G964" i="1"/>
  <c r="L140" i="49"/>
  <c r="K942" i="1"/>
  <c r="X117" i="49"/>
  <c r="K943" i="1" s="1"/>
  <c r="M105" i="49"/>
  <c r="G928" i="1"/>
  <c r="N889" i="1"/>
  <c r="AA65" i="49"/>
  <c r="N891" i="1" s="1"/>
  <c r="G885" i="1"/>
  <c r="M60" i="49"/>
  <c r="G884" i="1"/>
  <c r="P60" i="49"/>
  <c r="G882" i="1"/>
  <c r="H875" i="1"/>
  <c r="S50" i="49"/>
  <c r="H876" i="1" s="1"/>
  <c r="H561" i="1" s="1"/>
  <c r="N867" i="1"/>
  <c r="AA45" i="49"/>
  <c r="P45" i="49"/>
  <c r="G866" i="1"/>
  <c r="F694" i="1"/>
  <c r="F144" i="1" s="1"/>
  <c r="H33" i="49"/>
  <c r="I852" i="1"/>
  <c r="V29" i="49"/>
  <c r="I841" i="1"/>
  <c r="V21" i="49"/>
  <c r="D37" i="49"/>
  <c r="H828" i="1"/>
  <c r="H278" i="1" s="1"/>
  <c r="H167" i="49"/>
  <c r="G992" i="1"/>
  <c r="L169" i="49"/>
  <c r="G983" i="1"/>
  <c r="R161" i="49"/>
  <c r="P153" i="49"/>
  <c r="G974" i="1"/>
  <c r="R169" i="49"/>
  <c r="F799" i="1"/>
  <c r="F249" i="1" s="1"/>
  <c r="H138" i="49"/>
  <c r="K963" i="1"/>
  <c r="X140" i="49"/>
  <c r="K966" i="1" s="1"/>
  <c r="H959" i="1"/>
  <c r="S135" i="49"/>
  <c r="H961" i="1" s="1"/>
  <c r="H579" i="1" s="1"/>
  <c r="E211" i="36" s="1"/>
  <c r="D140" i="49"/>
  <c r="P169" i="49"/>
  <c r="J989" i="1"/>
  <c r="W169" i="49"/>
  <c r="J995" i="1" s="1"/>
  <c r="J584" i="1" s="1"/>
  <c r="E388" i="36" s="1"/>
  <c r="N986" i="1"/>
  <c r="H985" i="1"/>
  <c r="S161" i="49"/>
  <c r="H987" i="1" s="1"/>
  <c r="H583" i="1" s="1"/>
  <c r="E215" i="36" s="1"/>
  <c r="G828" i="1"/>
  <c r="G278" i="1" s="1"/>
  <c r="E169" i="49"/>
  <c r="V169" i="49"/>
  <c r="N169" i="49"/>
  <c r="J963" i="1"/>
  <c r="W140" i="49"/>
  <c r="J966" i="1" s="1"/>
  <c r="J580" i="1" s="1"/>
  <c r="E384" i="36" s="1"/>
  <c r="G991" i="1"/>
  <c r="I990" i="1"/>
  <c r="G990" i="1"/>
  <c r="F964" i="1"/>
  <c r="K140" i="49"/>
  <c r="F966" i="1" s="1"/>
  <c r="F580" i="1" s="1"/>
  <c r="N901" i="1"/>
  <c r="AA78" i="49"/>
  <c r="N904" i="1" s="1"/>
  <c r="AB75" i="49"/>
  <c r="O901" i="1" s="1"/>
  <c r="X60" i="49"/>
  <c r="K886" i="1" s="1"/>
  <c r="K882" i="1"/>
  <c r="M873" i="1"/>
  <c r="Z50" i="49"/>
  <c r="M876" i="1" s="1"/>
  <c r="H168" i="49"/>
  <c r="F169" i="49"/>
  <c r="H830" i="1" s="1"/>
  <c r="H280" i="1" s="1"/>
  <c r="H975" i="1"/>
  <c r="S153" i="49"/>
  <c r="H979" i="1" s="1"/>
  <c r="E214" i="36" s="1"/>
  <c r="H149" i="49"/>
  <c r="C153" i="49"/>
  <c r="E810" i="1"/>
  <c r="E260" i="1" s="1"/>
  <c r="V153" i="49"/>
  <c r="F809" i="1"/>
  <c r="F259" i="1" s="1"/>
  <c r="D153" i="49"/>
  <c r="F814" i="1" s="1"/>
  <c r="F264" i="1" s="1"/>
  <c r="Y153" i="49"/>
  <c r="L979" i="1" s="1"/>
  <c r="H808" i="1"/>
  <c r="H258" i="1" s="1"/>
  <c r="F153" i="49"/>
  <c r="H814" i="1" s="1"/>
  <c r="H264" i="1" s="1"/>
  <c r="G781" i="1"/>
  <c r="G231" i="1" s="1"/>
  <c r="E122" i="49"/>
  <c r="G993" i="1"/>
  <c r="L982" i="1"/>
  <c r="Y161" i="49"/>
  <c r="L987" i="1" s="1"/>
  <c r="X153" i="49"/>
  <c r="K979" i="1" s="1"/>
  <c r="K973" i="1"/>
  <c r="G973" i="1"/>
  <c r="G808" i="1"/>
  <c r="G258" i="1" s="1"/>
  <c r="E153" i="49"/>
  <c r="G814" i="1" s="1"/>
  <c r="G264" i="1" s="1"/>
  <c r="J169" i="49"/>
  <c r="E995" i="1" s="1"/>
  <c r="D145" i="49"/>
  <c r="F806" i="1" s="1"/>
  <c r="F256" i="1" s="1"/>
  <c r="K984" i="1"/>
  <c r="E982" i="1"/>
  <c r="J161" i="49"/>
  <c r="E820" i="1"/>
  <c r="E270" i="1" s="1"/>
  <c r="H159" i="49"/>
  <c r="Q140" i="49"/>
  <c r="E794" i="1"/>
  <c r="E244" i="1" s="1"/>
  <c r="H133" i="49"/>
  <c r="G947" i="1"/>
  <c r="G946" i="1"/>
  <c r="E816" i="1"/>
  <c r="E266" i="1" s="1"/>
  <c r="H155" i="49"/>
  <c r="F808" i="1"/>
  <c r="F258" i="1" s="1"/>
  <c r="H147" i="49"/>
  <c r="G940" i="1"/>
  <c r="H769" i="1"/>
  <c r="H219" i="1" s="1"/>
  <c r="F110" i="49"/>
  <c r="H771" i="1" s="1"/>
  <c r="H221" i="1" s="1"/>
  <c r="F743" i="1"/>
  <c r="F193" i="1" s="1"/>
  <c r="D83" i="49"/>
  <c r="J117" i="49"/>
  <c r="E943" i="1" s="1"/>
  <c r="E575" i="1" s="1"/>
  <c r="S78" i="49"/>
  <c r="H904" i="1" s="1"/>
  <c r="H567" i="1" s="1"/>
  <c r="E199" i="36" s="1"/>
  <c r="Y117" i="49"/>
  <c r="L943" i="1" s="1"/>
  <c r="U153" i="49"/>
  <c r="I973" i="1"/>
  <c r="E803" i="1"/>
  <c r="E253" i="1" s="1"/>
  <c r="H142" i="49"/>
  <c r="E921" i="1"/>
  <c r="J97" i="49"/>
  <c r="G969" i="1"/>
  <c r="N145" i="49"/>
  <c r="F960" i="1"/>
  <c r="K135" i="49"/>
  <c r="F961" i="1" s="1"/>
  <c r="F579" i="1" s="1"/>
  <c r="F787" i="1"/>
  <c r="F237" i="1" s="1"/>
  <c r="H126" i="49"/>
  <c r="J751" i="1"/>
  <c r="J201" i="1" s="1"/>
  <c r="AB90" i="49"/>
  <c r="O916" i="1" s="1"/>
  <c r="F782" i="1"/>
  <c r="F232" i="1" s="1"/>
  <c r="H121" i="49"/>
  <c r="I927" i="1"/>
  <c r="L105" i="49"/>
  <c r="S65" i="49"/>
  <c r="H891" i="1" s="1"/>
  <c r="E196" i="36" s="1"/>
  <c r="H890" i="1"/>
  <c r="E710" i="1"/>
  <c r="E160" i="1" s="1"/>
  <c r="H49" i="49"/>
  <c r="M930" i="1"/>
  <c r="Z105" i="49"/>
  <c r="M931" i="1" s="1"/>
  <c r="V60" i="49"/>
  <c r="F716" i="1"/>
  <c r="F166" i="1" s="1"/>
  <c r="D60" i="49"/>
  <c r="F721" i="1" s="1"/>
  <c r="F171" i="1" s="1"/>
  <c r="H715" i="1"/>
  <c r="H165" i="1" s="1"/>
  <c r="H54" i="49"/>
  <c r="Z130" i="49"/>
  <c r="M956" i="1" s="1"/>
  <c r="I935" i="1"/>
  <c r="F946" i="1"/>
  <c r="K122" i="49"/>
  <c r="F948" i="1" s="1"/>
  <c r="H933" i="1"/>
  <c r="L920" i="1"/>
  <c r="Y97" i="49"/>
  <c r="L923" i="1" s="1"/>
  <c r="F728" i="1"/>
  <c r="F178" i="1" s="1"/>
  <c r="H67" i="49"/>
  <c r="E781" i="1"/>
  <c r="E231" i="1" s="1"/>
  <c r="H120" i="49"/>
  <c r="H773" i="1"/>
  <c r="H223" i="1" s="1"/>
  <c r="H112" i="49"/>
  <c r="W105" i="49"/>
  <c r="J929" i="1"/>
  <c r="H165" i="49"/>
  <c r="Q161" i="49"/>
  <c r="G982" i="1"/>
  <c r="G981" i="1"/>
  <c r="L161" i="49"/>
  <c r="F973" i="1"/>
  <c r="K153" i="49"/>
  <c r="F979" i="1" s="1"/>
  <c r="H119" i="49"/>
  <c r="G921" i="1"/>
  <c r="K908" i="1"/>
  <c r="X83" i="49"/>
  <c r="K909" i="1" s="1"/>
  <c r="H77" i="49"/>
  <c r="I738" i="1"/>
  <c r="I188" i="1" s="1"/>
  <c r="E911" i="1"/>
  <c r="J91" i="49"/>
  <c r="E917" i="1" s="1"/>
  <c r="R83" i="49"/>
  <c r="E906" i="1"/>
  <c r="J83" i="49"/>
  <c r="E909" i="1" s="1"/>
  <c r="C47" i="22" l="1"/>
  <c r="D40" i="22"/>
  <c r="C46" i="22"/>
  <c r="C50" i="22"/>
  <c r="C45" i="22"/>
  <c r="A843" i="36"/>
  <c r="A837" i="36"/>
  <c r="O1287" i="1"/>
  <c r="O1247" i="1"/>
  <c r="O1294" i="1"/>
  <c r="P862" i="1"/>
  <c r="H1254" i="1"/>
  <c r="J788" i="1"/>
  <c r="J238" i="1" s="1"/>
  <c r="J749" i="1"/>
  <c r="J199" i="1" s="1"/>
  <c r="P992" i="1"/>
  <c r="AB15" i="49"/>
  <c r="O841" i="1" s="1"/>
  <c r="J677" i="1"/>
  <c r="J127" i="1" s="1"/>
  <c r="K559" i="1"/>
  <c r="E449" i="36" s="1"/>
  <c r="P954" i="1"/>
  <c r="AB32" i="49"/>
  <c r="O858" i="1" s="1"/>
  <c r="AB148" i="49"/>
  <c r="O974" i="1" s="1"/>
  <c r="J681" i="1"/>
  <c r="J131" i="1" s="1"/>
  <c r="P849" i="1"/>
  <c r="I899" i="1"/>
  <c r="I566" i="1" s="1"/>
  <c r="E284" i="36" s="1"/>
  <c r="P874" i="1"/>
  <c r="P845" i="1"/>
  <c r="P968" i="1"/>
  <c r="AB163" i="49"/>
  <c r="O989" i="1" s="1"/>
  <c r="P861" i="1"/>
  <c r="J813" i="1"/>
  <c r="J263" i="1" s="1"/>
  <c r="K560" i="1"/>
  <c r="E450" i="36" s="1"/>
  <c r="I871" i="1"/>
  <c r="H1252" i="1" s="1"/>
  <c r="M559" i="1"/>
  <c r="E621" i="36" s="1"/>
  <c r="AB24" i="49"/>
  <c r="O850" i="1" s="1"/>
  <c r="P857" i="1"/>
  <c r="N1273" i="1"/>
  <c r="P878" i="1"/>
  <c r="I909" i="1"/>
  <c r="I568" i="1" s="1"/>
  <c r="E286" i="36" s="1"/>
  <c r="K1260" i="1"/>
  <c r="G1254" i="1"/>
  <c r="P568" i="1"/>
  <c r="I931" i="1"/>
  <c r="I572" i="1" s="1"/>
  <c r="E290" i="36" s="1"/>
  <c r="H1266" i="1"/>
  <c r="AB43" i="49"/>
  <c r="O869" i="1" s="1"/>
  <c r="G948" i="1"/>
  <c r="G576" i="1" s="1"/>
  <c r="I1268" i="1"/>
  <c r="J1257" i="1"/>
  <c r="P860" i="1"/>
  <c r="P869" i="1"/>
  <c r="P941" i="1"/>
  <c r="I863" i="1"/>
  <c r="H1251" i="1" s="1"/>
  <c r="P912" i="1"/>
  <c r="I891" i="1"/>
  <c r="I564" i="1" s="1"/>
  <c r="E282" i="36" s="1"/>
  <c r="P846" i="1"/>
  <c r="L559" i="1"/>
  <c r="E535" i="36" s="1"/>
  <c r="M575" i="1"/>
  <c r="E637" i="36" s="1"/>
  <c r="AB124" i="49"/>
  <c r="O950" i="1" s="1"/>
  <c r="P952" i="1"/>
  <c r="F167" i="22"/>
  <c r="G167" i="22" s="1"/>
  <c r="I167" i="22" s="1"/>
  <c r="K167" i="22" s="1"/>
  <c r="AB48" i="49"/>
  <c r="O874" i="1" s="1"/>
  <c r="AB58" i="49"/>
  <c r="O884" i="1" s="1"/>
  <c r="AB157" i="49"/>
  <c r="O983" i="1" s="1"/>
  <c r="H1269" i="1"/>
  <c r="AB89" i="49"/>
  <c r="O915" i="1" s="1"/>
  <c r="K1268" i="1"/>
  <c r="P870" i="1"/>
  <c r="M566" i="1"/>
  <c r="E628" i="36" s="1"/>
  <c r="I971" i="1"/>
  <c r="I581" i="1" s="1"/>
  <c r="E299" i="36" s="1"/>
  <c r="I936" i="1"/>
  <c r="I573" i="1" s="1"/>
  <c r="E291" i="36" s="1"/>
  <c r="P940" i="1"/>
  <c r="AB72" i="49"/>
  <c r="O898" i="1" s="1"/>
  <c r="N1272" i="1"/>
  <c r="I987" i="1"/>
  <c r="H1275" i="1" s="1"/>
  <c r="AB108" i="49"/>
  <c r="O934" i="1" s="1"/>
  <c r="P950" i="1"/>
  <c r="J713" i="1"/>
  <c r="F158" i="22" s="1"/>
  <c r="G158" i="22" s="1"/>
  <c r="I158" i="22" s="1"/>
  <c r="K158" i="22" s="1"/>
  <c r="P916" i="1"/>
  <c r="P922" i="1"/>
  <c r="AB35" i="49"/>
  <c r="O861" i="1" s="1"/>
  <c r="I752" i="1"/>
  <c r="I202" i="1" s="1"/>
  <c r="P558" i="1"/>
  <c r="P858" i="1"/>
  <c r="P920" i="1"/>
  <c r="AB26" i="49"/>
  <c r="O852" i="1" s="1"/>
  <c r="AB139" i="49"/>
  <c r="O965" i="1" s="1"/>
  <c r="P933" i="1"/>
  <c r="P993" i="1"/>
  <c r="AB27" i="49"/>
  <c r="O853" i="1" s="1"/>
  <c r="L558" i="1"/>
  <c r="E534" i="36" s="1"/>
  <c r="AB17" i="49"/>
  <c r="O843" i="1" s="1"/>
  <c r="J686" i="1"/>
  <c r="J136" i="1" s="1"/>
  <c r="P880" i="1"/>
  <c r="AB47" i="49"/>
  <c r="O873" i="1" s="1"/>
  <c r="P947" i="1"/>
  <c r="G847" i="1"/>
  <c r="G557" i="1" s="1"/>
  <c r="P911" i="1"/>
  <c r="AB57" i="49"/>
  <c r="O883" i="1" s="1"/>
  <c r="P984" i="1"/>
  <c r="P865" i="1"/>
  <c r="E202" i="36"/>
  <c r="P938" i="1"/>
  <c r="L567" i="1"/>
  <c r="E543" i="36" s="1"/>
  <c r="P915" i="1"/>
  <c r="AB80" i="49"/>
  <c r="O906" i="1" s="1"/>
  <c r="P578" i="1"/>
  <c r="P903" i="1"/>
  <c r="I904" i="1"/>
  <c r="I567" i="1" s="1"/>
  <c r="E285" i="36" s="1"/>
  <c r="I966" i="1"/>
  <c r="I580" i="1" s="1"/>
  <c r="E298" i="36" s="1"/>
  <c r="E556" i="36"/>
  <c r="M569" i="1"/>
  <c r="E631" i="36" s="1"/>
  <c r="M582" i="1"/>
  <c r="E644" i="36" s="1"/>
  <c r="P859" i="1"/>
  <c r="P842" i="1"/>
  <c r="P888" i="1"/>
  <c r="I948" i="1"/>
  <c r="I576" i="1" s="1"/>
  <c r="E294" i="36" s="1"/>
  <c r="I876" i="1"/>
  <c r="I561" i="1" s="1"/>
  <c r="E279" i="36" s="1"/>
  <c r="J692" i="1"/>
  <c r="J142" i="1" s="1"/>
  <c r="P843" i="1"/>
  <c r="P974" i="1"/>
  <c r="AB94" i="49"/>
  <c r="O920" i="1" s="1"/>
  <c r="P866" i="1"/>
  <c r="K1249" i="1"/>
  <c r="I1271" i="1"/>
  <c r="G899" i="1"/>
  <c r="P575" i="1"/>
  <c r="G1266" i="1"/>
  <c r="K581" i="1"/>
  <c r="E471" i="36" s="1"/>
  <c r="P844" i="1"/>
  <c r="K1256" i="1"/>
  <c r="K565" i="1"/>
  <c r="E455" i="36" s="1"/>
  <c r="J825" i="1"/>
  <c r="J275" i="1" s="1"/>
  <c r="I956" i="1"/>
  <c r="I578" i="1" s="1"/>
  <c r="E296" i="36" s="1"/>
  <c r="I961" i="1"/>
  <c r="I579" i="1" s="1"/>
  <c r="E297" i="36" s="1"/>
  <c r="M567" i="1"/>
  <c r="E629" i="36" s="1"/>
  <c r="I895" i="1"/>
  <c r="H1257" i="1" s="1"/>
  <c r="L566" i="1"/>
  <c r="E542" i="36" s="1"/>
  <c r="AB102" i="49"/>
  <c r="O928" i="1" s="1"/>
  <c r="J1256" i="1"/>
  <c r="AB63" i="49"/>
  <c r="O889" i="1" s="1"/>
  <c r="AB99" i="49"/>
  <c r="O925" i="1" s="1"/>
  <c r="P925" i="1"/>
  <c r="M580" i="1"/>
  <c r="E642" i="36" s="1"/>
  <c r="N1274" i="1"/>
  <c r="H117" i="49"/>
  <c r="J778" i="1" s="1"/>
  <c r="I855" i="1"/>
  <c r="H1250" i="1" s="1"/>
  <c r="G904" i="1"/>
  <c r="G567" i="1" s="1"/>
  <c r="E113" i="36" s="1"/>
  <c r="J679" i="1"/>
  <c r="J129" i="1" s="1"/>
  <c r="AB93" i="49"/>
  <c r="O919" i="1" s="1"/>
  <c r="P994" i="1"/>
  <c r="J1265" i="1"/>
  <c r="P894" i="1"/>
  <c r="AB116" i="49"/>
  <c r="O942" i="1" s="1"/>
  <c r="P875" i="1"/>
  <c r="H29" i="49"/>
  <c r="J690" i="1" s="1"/>
  <c r="P850" i="1"/>
  <c r="P969" i="1"/>
  <c r="AB137" i="49"/>
  <c r="O963" i="1" s="1"/>
  <c r="H50" i="49"/>
  <c r="J711" i="1" s="1"/>
  <c r="F157" i="22" s="1"/>
  <c r="G157" i="22" s="1"/>
  <c r="I157" i="22" s="1"/>
  <c r="K157" i="22" s="1"/>
  <c r="M570" i="1"/>
  <c r="E632" i="36" s="1"/>
  <c r="J819" i="1"/>
  <c r="J269" i="1" s="1"/>
  <c r="N1251" i="1"/>
  <c r="P919" i="1"/>
  <c r="P928" i="1"/>
  <c r="P976" i="1"/>
  <c r="AB109" i="49"/>
  <c r="O935" i="1" s="1"/>
  <c r="H21" i="49"/>
  <c r="J682" i="1" s="1"/>
  <c r="P867" i="1"/>
  <c r="A21" i="36"/>
  <c r="A18" i="36"/>
  <c r="G863" i="1"/>
  <c r="G559" i="1" s="1"/>
  <c r="E105" i="36" s="1"/>
  <c r="P955" i="1"/>
  <c r="P989" i="1"/>
  <c r="M573" i="1"/>
  <c r="E635" i="36" s="1"/>
  <c r="I1250" i="1"/>
  <c r="P881" i="1"/>
  <c r="L578" i="1"/>
  <c r="E554" i="36" s="1"/>
  <c r="I1253" i="1"/>
  <c r="K561" i="1"/>
  <c r="E451" i="36" s="1"/>
  <c r="P945" i="1"/>
  <c r="P854" i="1"/>
  <c r="Q562" i="1"/>
  <c r="P978" i="1"/>
  <c r="I917" i="1"/>
  <c r="H1261" i="1" s="1"/>
  <c r="P908" i="1"/>
  <c r="J1260" i="1"/>
  <c r="I1258" i="1"/>
  <c r="AB143" i="49"/>
  <c r="O969" i="1" s="1"/>
  <c r="I923" i="1"/>
  <c r="I570" i="1" s="1"/>
  <c r="E288" i="36" s="1"/>
  <c r="G876" i="1"/>
  <c r="G561" i="1" s="1"/>
  <c r="E107" i="36" s="1"/>
  <c r="AB107" i="49"/>
  <c r="O933" i="1" s="1"/>
  <c r="AB55" i="49"/>
  <c r="O881" i="1" s="1"/>
  <c r="H69" i="49"/>
  <c r="J730" i="1" s="1"/>
  <c r="I943" i="1"/>
  <c r="I575" i="1" s="1"/>
  <c r="E293" i="36" s="1"/>
  <c r="G936" i="1"/>
  <c r="G1265" i="1" s="1"/>
  <c r="G895" i="1"/>
  <c r="AB95" i="49"/>
  <c r="O921" i="1" s="1"/>
  <c r="J723" i="1"/>
  <c r="J173" i="1" s="1"/>
  <c r="F1277" i="1"/>
  <c r="E516" i="39" s="1"/>
  <c r="P868" i="1"/>
  <c r="I995" i="1"/>
  <c r="I584" i="1" s="1"/>
  <c r="E302" i="36" s="1"/>
  <c r="P913" i="1"/>
  <c r="P897" i="1"/>
  <c r="P902" i="1"/>
  <c r="G891" i="1"/>
  <c r="G1256" i="1" s="1"/>
  <c r="G961" i="1"/>
  <c r="G579" i="1" s="1"/>
  <c r="P907" i="1"/>
  <c r="AB129" i="49"/>
  <c r="O955" i="1" s="1"/>
  <c r="N1257" i="1"/>
  <c r="P983" i="1"/>
  <c r="AB59" i="49"/>
  <c r="O885" i="1" s="1"/>
  <c r="P898" i="1"/>
  <c r="I538" i="1"/>
  <c r="J538" i="1" s="1"/>
  <c r="F135" i="22" s="1"/>
  <c r="G135" i="22" s="1"/>
  <c r="I135" i="22" s="1"/>
  <c r="K135" i="22" s="1"/>
  <c r="P573" i="1"/>
  <c r="I170" i="49"/>
  <c r="K831" i="1" s="1"/>
  <c r="H78" i="49"/>
  <c r="J739" i="1" s="1"/>
  <c r="F163" i="22" s="1"/>
  <c r="G163" i="22" s="1"/>
  <c r="I163" i="22" s="1"/>
  <c r="K163" i="22" s="1"/>
  <c r="P914" i="1"/>
  <c r="K573" i="1"/>
  <c r="E463" i="36" s="1"/>
  <c r="I1265" i="1"/>
  <c r="J717" i="1"/>
  <c r="J167" i="1" s="1"/>
  <c r="I1262" i="1"/>
  <c r="J729" i="1"/>
  <c r="J179" i="1" s="1"/>
  <c r="H73" i="49"/>
  <c r="J734" i="1" s="1"/>
  <c r="F162" i="22" s="1"/>
  <c r="G162" i="22" s="1"/>
  <c r="I162" i="22" s="1"/>
  <c r="K162" i="22" s="1"/>
  <c r="J695" i="1"/>
  <c r="J145" i="1" s="1"/>
  <c r="AB28" i="49"/>
  <c r="O854" i="1" s="1"/>
  <c r="P975" i="1"/>
  <c r="P901" i="1"/>
  <c r="AB103" i="49"/>
  <c r="O929" i="1" s="1"/>
  <c r="P959" i="1"/>
  <c r="G1263" i="1"/>
  <c r="P889" i="1"/>
  <c r="J684" i="1"/>
  <c r="J134" i="1" s="1"/>
  <c r="L569" i="1"/>
  <c r="E545" i="36" s="1"/>
  <c r="P851" i="1"/>
  <c r="P570" i="1"/>
  <c r="J725" i="1"/>
  <c r="J175" i="1" s="1"/>
  <c r="AB39" i="49"/>
  <c r="O865" i="1" s="1"/>
  <c r="J1273" i="1"/>
  <c r="J811" i="1"/>
  <c r="J261" i="1" s="1"/>
  <c r="P579" i="1"/>
  <c r="P906" i="1"/>
  <c r="P986" i="1"/>
  <c r="P583" i="1"/>
  <c r="P557" i="1"/>
  <c r="M560" i="1"/>
  <c r="E622" i="36" s="1"/>
  <c r="H65" i="49"/>
  <c r="J726" i="1" s="1"/>
  <c r="F160" i="22" s="1"/>
  <c r="G160" i="22" s="1"/>
  <c r="I160" i="22" s="1"/>
  <c r="K160" i="22" s="1"/>
  <c r="P893" i="1"/>
  <c r="J776" i="1"/>
  <c r="J226" i="1" s="1"/>
  <c r="P930" i="1"/>
  <c r="N1264" i="1"/>
  <c r="AB132" i="49"/>
  <c r="O958" i="1" s="1"/>
  <c r="K567" i="1"/>
  <c r="E457" i="36" s="1"/>
  <c r="I1259" i="1"/>
  <c r="P576" i="1"/>
  <c r="N1268" i="1"/>
  <c r="G577" i="1"/>
  <c r="E123" i="36" s="1"/>
  <c r="G1269" i="1"/>
  <c r="G923" i="1"/>
  <c r="G570" i="1" s="1"/>
  <c r="P985" i="1"/>
  <c r="L560" i="1"/>
  <c r="E536" i="36" s="1"/>
  <c r="J1252" i="1"/>
  <c r="J748" i="1"/>
  <c r="J198" i="1" s="1"/>
  <c r="AB87" i="49"/>
  <c r="O913" i="1" s="1"/>
  <c r="M584" i="1"/>
  <c r="E646" i="36" s="1"/>
  <c r="K1276" i="1"/>
  <c r="L579" i="1"/>
  <c r="E555" i="36" s="1"/>
  <c r="J1271" i="1"/>
  <c r="P970" i="1"/>
  <c r="M565" i="1"/>
  <c r="E627" i="36" s="1"/>
  <c r="AB19" i="49"/>
  <c r="O845" i="1" s="1"/>
  <c r="J680" i="1"/>
  <c r="J130" i="1" s="1"/>
  <c r="K572" i="1"/>
  <c r="E462" i="36" s="1"/>
  <c r="I1264" i="1"/>
  <c r="H97" i="49"/>
  <c r="J758" i="1" s="1"/>
  <c r="J208" i="1" s="1"/>
  <c r="E1262" i="1" s="1"/>
  <c r="O1298" i="1"/>
  <c r="N1258" i="1"/>
  <c r="P566" i="1"/>
  <c r="K564" i="1"/>
  <c r="E454" i="36" s="1"/>
  <c r="I1256" i="1"/>
  <c r="K1255" i="1"/>
  <c r="G909" i="1"/>
  <c r="G568" i="1" s="1"/>
  <c r="P953" i="1"/>
  <c r="AB128" i="49"/>
  <c r="O954" i="1" s="1"/>
  <c r="P958" i="1"/>
  <c r="P977" i="1"/>
  <c r="G943" i="1"/>
  <c r="G575" i="1" s="1"/>
  <c r="P934" i="1"/>
  <c r="J1268" i="1"/>
  <c r="AB96" i="49"/>
  <c r="O922" i="1" s="1"/>
  <c r="J757" i="1"/>
  <c r="J207" i="1" s="1"/>
  <c r="J765" i="1"/>
  <c r="J215" i="1" s="1"/>
  <c r="AB104" i="49"/>
  <c r="O930" i="1" s="1"/>
  <c r="P885" i="1"/>
  <c r="AB156" i="49"/>
  <c r="O982" i="1" s="1"/>
  <c r="P965" i="1"/>
  <c r="J1253" i="1"/>
  <c r="J795" i="1"/>
  <c r="J245" i="1" s="1"/>
  <c r="AB134" i="49"/>
  <c r="O960" i="1" s="1"/>
  <c r="O170" i="49"/>
  <c r="J561" i="1"/>
  <c r="E365" i="36" s="1"/>
  <c r="J1264" i="1"/>
  <c r="L572" i="1"/>
  <c r="E548" i="36" s="1"/>
  <c r="P569" i="1"/>
  <c r="N1261" i="1"/>
  <c r="K1271" i="1"/>
  <c r="G886" i="1"/>
  <c r="G1255" i="1" s="1"/>
  <c r="P853" i="1"/>
  <c r="K578" i="1"/>
  <c r="E468" i="36" s="1"/>
  <c r="J743" i="1"/>
  <c r="J193" i="1" s="1"/>
  <c r="AB82" i="49"/>
  <c r="O908" i="1" s="1"/>
  <c r="I1261" i="1"/>
  <c r="K569" i="1"/>
  <c r="E459" i="36" s="1"/>
  <c r="P981" i="1"/>
  <c r="P991" i="1"/>
  <c r="P890" i="1"/>
  <c r="Q574" i="1"/>
  <c r="P884" i="1"/>
  <c r="J1276" i="1"/>
  <c r="J732" i="1"/>
  <c r="J182" i="1" s="1"/>
  <c r="AB71" i="49"/>
  <c r="O897" i="1" s="1"/>
  <c r="E510" i="39"/>
  <c r="O1292" i="1"/>
  <c r="L170" i="49"/>
  <c r="P942" i="1"/>
  <c r="J742" i="1"/>
  <c r="J192" i="1" s="1"/>
  <c r="AB81" i="49"/>
  <c r="O907" i="1" s="1"/>
  <c r="I979" i="1"/>
  <c r="I582" i="1" s="1"/>
  <c r="E300" i="36" s="1"/>
  <c r="I571" i="1"/>
  <c r="E289" i="36" s="1"/>
  <c r="H1263" i="1"/>
  <c r="P170" i="49"/>
  <c r="M170" i="49"/>
  <c r="G917" i="1"/>
  <c r="G569" i="1" s="1"/>
  <c r="A798" i="36"/>
  <c r="A802" i="36"/>
  <c r="A799" i="36"/>
  <c r="A801" i="36"/>
  <c r="A796" i="36"/>
  <c r="A800" i="36"/>
  <c r="A797" i="36"/>
  <c r="A795" i="36"/>
  <c r="J821" i="1"/>
  <c r="J271" i="1" s="1"/>
  <c r="AB160" i="49"/>
  <c r="O986" i="1" s="1"/>
  <c r="J827" i="1"/>
  <c r="J277" i="1" s="1"/>
  <c r="AB166" i="49"/>
  <c r="O992" i="1" s="1"/>
  <c r="A791" i="36"/>
  <c r="A793" i="36"/>
  <c r="A792" i="36"/>
  <c r="E545" i="39"/>
  <c r="O1318" i="1"/>
  <c r="H161" i="49"/>
  <c r="J822" i="1" s="1"/>
  <c r="E822" i="1"/>
  <c r="E272" i="1" s="1"/>
  <c r="A860" i="36"/>
  <c r="A859" i="36"/>
  <c r="A862" i="36"/>
  <c r="A861" i="36"/>
  <c r="P973" i="1"/>
  <c r="G956" i="1"/>
  <c r="J153" i="29"/>
  <c r="AD153" i="29" s="1"/>
  <c r="E170" i="29"/>
  <c r="O1320" i="1"/>
  <c r="F72" i="22"/>
  <c r="G72" i="22" s="1"/>
  <c r="I72" i="22" s="1"/>
  <c r="K72" i="22" s="1"/>
  <c r="E1242" i="1"/>
  <c r="A840" i="36"/>
  <c r="F250" i="22"/>
  <c r="G250" i="22" s="1"/>
  <c r="I250" i="22" s="1"/>
  <c r="K250" i="22" s="1"/>
  <c r="E892" i="36"/>
  <c r="A892" i="36" s="1"/>
  <c r="A743" i="36"/>
  <c r="A726" i="36"/>
  <c r="A718" i="36"/>
  <c r="A733" i="36"/>
  <c r="A742" i="36"/>
  <c r="A701" i="36"/>
  <c r="A717" i="36"/>
  <c r="A704" i="36"/>
  <c r="A736" i="36"/>
  <c r="A714" i="36"/>
  <c r="A721" i="36"/>
  <c r="A711" i="36"/>
  <c r="A727" i="36"/>
  <c r="A719" i="36"/>
  <c r="A749" i="36"/>
  <c r="A707" i="36"/>
  <c r="A708" i="36"/>
  <c r="A740" i="36"/>
  <c r="A705" i="36"/>
  <c r="A745" i="36"/>
  <c r="A709" i="36"/>
  <c r="A713" i="36"/>
  <c r="A739" i="36"/>
  <c r="A712" i="36"/>
  <c r="A744" i="36"/>
  <c r="A700" i="36"/>
  <c r="A748" i="36"/>
  <c r="A735" i="36"/>
  <c r="A734" i="36"/>
  <c r="A716" i="36"/>
  <c r="A722" i="36"/>
  <c r="A751" i="36"/>
  <c r="A753" i="36"/>
  <c r="A730" i="36"/>
  <c r="A710" i="36"/>
  <c r="A741" i="36"/>
  <c r="A728" i="36"/>
  <c r="A737" i="36"/>
  <c r="A724" i="36"/>
  <c r="A731" i="36"/>
  <c r="A738" i="36"/>
  <c r="A750" i="36"/>
  <c r="A725" i="36"/>
  <c r="A732" i="36"/>
  <c r="A702" i="36"/>
  <c r="A715" i="36"/>
  <c r="A752" i="36"/>
  <c r="A703" i="36"/>
  <c r="A747" i="36"/>
  <c r="A706" i="36"/>
  <c r="A698" i="36"/>
  <c r="A746" i="36"/>
  <c r="A699" i="36"/>
  <c r="A729" i="36"/>
  <c r="A723" i="36"/>
  <c r="A720" i="36"/>
  <c r="A754" i="36"/>
  <c r="A841" i="36"/>
  <c r="E553" i="36"/>
  <c r="P584" i="1"/>
  <c r="N1276" i="1"/>
  <c r="A905" i="36"/>
  <c r="A903" i="36"/>
  <c r="A900" i="36"/>
  <c r="A909" i="36"/>
  <c r="A908" i="36"/>
  <c r="A907" i="36"/>
  <c r="A906" i="36"/>
  <c r="A910" i="36"/>
  <c r="A904" i="36"/>
  <c r="E21" i="39"/>
  <c r="E29" i="39" s="1"/>
  <c r="J74" i="1"/>
  <c r="A822" i="36"/>
  <c r="A819" i="36"/>
  <c r="A820" i="36"/>
  <c r="A818" i="36"/>
  <c r="A817" i="36"/>
  <c r="A816" i="36" s="1"/>
  <c r="J1132" i="1"/>
  <c r="H130" i="49"/>
  <c r="J791" i="1" s="1"/>
  <c r="P927" i="1"/>
  <c r="J21" i="29"/>
  <c r="F170" i="29"/>
  <c r="J775" i="1"/>
  <c r="J225" i="1" s="1"/>
  <c r="AB114" i="49"/>
  <c r="O940" i="1" s="1"/>
  <c r="C54" i="22"/>
  <c r="C48" i="22"/>
  <c r="D48" i="22"/>
  <c r="D45" i="22"/>
  <c r="I1275" i="1"/>
  <c r="K583" i="1"/>
  <c r="E473" i="36" s="1"/>
  <c r="C49" i="22"/>
  <c r="D47" i="22"/>
  <c r="E47" i="22" s="1"/>
  <c r="A842" i="36"/>
  <c r="A29" i="36"/>
  <c r="A27" i="36"/>
  <c r="A30" i="36"/>
  <c r="A28" i="36"/>
  <c r="A769" i="36"/>
  <c r="A770" i="36"/>
  <c r="A771" i="36"/>
  <c r="K584" i="1"/>
  <c r="I1276" i="1"/>
  <c r="A838" i="36"/>
  <c r="E542" i="39"/>
  <c r="O1283" i="1"/>
  <c r="E523" i="39"/>
  <c r="O1296" i="1"/>
  <c r="E480" i="39"/>
  <c r="O1240" i="1"/>
  <c r="H473" i="1"/>
  <c r="E928" i="36" s="1"/>
  <c r="A928" i="36" s="1"/>
  <c r="A925" i="36" s="1"/>
  <c r="A926" i="36" s="1"/>
  <c r="O170" i="29"/>
  <c r="AD69" i="29"/>
  <c r="A811" i="36"/>
  <c r="A812" i="36"/>
  <c r="A834" i="36"/>
  <c r="P946" i="1"/>
  <c r="P960" i="1"/>
  <c r="G979" i="1"/>
  <c r="G582" i="1" s="1"/>
  <c r="U170" i="49"/>
  <c r="D46" i="22"/>
  <c r="E46" i="22" s="1"/>
  <c r="A17" i="36"/>
  <c r="A16" i="36"/>
  <c r="A22" i="36"/>
  <c r="O1325" i="1"/>
  <c r="F73" i="22"/>
  <c r="G73" i="22" s="1"/>
  <c r="I73" i="22" s="1"/>
  <c r="K73" i="22" s="1"/>
  <c r="E1243" i="1"/>
  <c r="A912" i="36"/>
  <c r="A916" i="36"/>
  <c r="A915" i="36"/>
  <c r="A913" i="36"/>
  <c r="A914" i="36"/>
  <c r="A836" i="36"/>
  <c r="A833" i="36"/>
  <c r="D50" i="22"/>
  <c r="E50" i="22" s="1"/>
  <c r="A835" i="36"/>
  <c r="P883" i="1"/>
  <c r="M581" i="1"/>
  <c r="E643" i="36" s="1"/>
  <c r="K1273" i="1"/>
  <c r="E553" i="39"/>
  <c r="O1323" i="1"/>
  <c r="P935" i="1"/>
  <c r="P964" i="1"/>
  <c r="P841" i="1"/>
  <c r="P929" i="1"/>
  <c r="A773" i="36"/>
  <c r="A774" i="36"/>
  <c r="E1280" i="1"/>
  <c r="E806" i="36"/>
  <c r="E810" i="36" s="1"/>
  <c r="L810" i="36" s="1"/>
  <c r="A810" i="36" s="1"/>
  <c r="F81" i="22"/>
  <c r="G81" i="22" s="1"/>
  <c r="I81" i="22" s="1"/>
  <c r="K81" i="22" s="1"/>
  <c r="A893" i="36"/>
  <c r="F68" i="22"/>
  <c r="G68" i="22" s="1"/>
  <c r="I68" i="22" s="1"/>
  <c r="K68" i="22" s="1"/>
  <c r="I46" i="50"/>
  <c r="H135" i="49"/>
  <c r="J796" i="1" s="1"/>
  <c r="A920" i="36"/>
  <c r="A921" i="36"/>
  <c r="A924" i="36"/>
  <c r="A922" i="36"/>
  <c r="A832" i="36"/>
  <c r="M1024" i="1"/>
  <c r="E889" i="36" s="1"/>
  <c r="A889" i="36" s="1"/>
  <c r="A831" i="36"/>
  <c r="E890" i="36"/>
  <c r="A890" i="36" s="1"/>
  <c r="F184" i="22"/>
  <c r="G184" i="22" s="1"/>
  <c r="I184" i="22" s="1"/>
  <c r="K184" i="22" s="1"/>
  <c r="A787" i="36"/>
  <c r="A788" i="36"/>
  <c r="A789" i="36"/>
  <c r="F83" i="22"/>
  <c r="G83" i="22" s="1"/>
  <c r="I83" i="22" s="1"/>
  <c r="K83" i="22" s="1"/>
  <c r="C14" i="22"/>
  <c r="E1282" i="1"/>
  <c r="P873" i="1"/>
  <c r="F24" i="22"/>
  <c r="C26" i="22"/>
  <c r="F26" i="22" s="1"/>
  <c r="E1279" i="1"/>
  <c r="F80" i="22"/>
  <c r="G80" i="22" s="1"/>
  <c r="I80" i="22" s="1"/>
  <c r="K80" i="22" s="1"/>
  <c r="C40" i="22"/>
  <c r="F193" i="22"/>
  <c r="G193" i="22" s="1"/>
  <c r="I193" i="22" s="1"/>
  <c r="K193" i="22" s="1"/>
  <c r="A839" i="36"/>
  <c r="AB36" i="49"/>
  <c r="O862" i="1" s="1"/>
  <c r="J697" i="1"/>
  <c r="J147" i="1" s="1"/>
  <c r="D49" i="22"/>
  <c r="J828" i="1"/>
  <c r="J278" i="1" s="1"/>
  <c r="AB167" i="49"/>
  <c r="O993" i="1" s="1"/>
  <c r="F698" i="1"/>
  <c r="F148" i="1" s="1"/>
  <c r="H37" i="49"/>
  <c r="J781" i="1"/>
  <c r="J231" i="1" s="1"/>
  <c r="AB120" i="49"/>
  <c r="O946" i="1" s="1"/>
  <c r="G783" i="1"/>
  <c r="G233" i="1" s="1"/>
  <c r="H122" i="49"/>
  <c r="AB165" i="49"/>
  <c r="O991" i="1" s="1"/>
  <c r="J826" i="1"/>
  <c r="J276" i="1" s="1"/>
  <c r="M572" i="1"/>
  <c r="E634" i="36" s="1"/>
  <c r="K1264" i="1"/>
  <c r="J1267" i="1"/>
  <c r="E551" i="36"/>
  <c r="J799" i="1"/>
  <c r="J249" i="1" s="1"/>
  <c r="AB138" i="49"/>
  <c r="O964" i="1" s="1"/>
  <c r="R170" i="49"/>
  <c r="I847" i="1"/>
  <c r="V170" i="49"/>
  <c r="G971" i="1"/>
  <c r="M855" i="1"/>
  <c r="Z170" i="49"/>
  <c r="M996" i="1" s="1"/>
  <c r="I886" i="1"/>
  <c r="P963" i="1"/>
  <c r="E170" i="49"/>
  <c r="G831" i="1" s="1"/>
  <c r="E9" i="39" s="1"/>
  <c r="E572" i="1"/>
  <c r="J812" i="1"/>
  <c r="J262" i="1" s="1"/>
  <c r="AB151" i="49"/>
  <c r="O977" i="1" s="1"/>
  <c r="AB159" i="49"/>
  <c r="O985" i="1" s="1"/>
  <c r="J820" i="1"/>
  <c r="J270" i="1" s="1"/>
  <c r="F582" i="1"/>
  <c r="AB67" i="49"/>
  <c r="O893" i="1" s="1"/>
  <c r="J728" i="1"/>
  <c r="J178" i="1" s="1"/>
  <c r="J810" i="1"/>
  <c r="J260" i="1" s="1"/>
  <c r="AB149" i="49"/>
  <c r="O975" i="1" s="1"/>
  <c r="N871" i="1"/>
  <c r="AA170" i="49"/>
  <c r="N996" i="1" s="1"/>
  <c r="M578" i="1"/>
  <c r="E640" i="36" s="1"/>
  <c r="K1270" i="1"/>
  <c r="AB49" i="49"/>
  <c r="O875" i="1" s="1"/>
  <c r="J710" i="1"/>
  <c r="J160" i="1" s="1"/>
  <c r="E923" i="1"/>
  <c r="I1274" i="1"/>
  <c r="K582" i="1"/>
  <c r="E472" i="36" s="1"/>
  <c r="F855" i="1"/>
  <c r="K170" i="49"/>
  <c r="F996" i="1" s="1"/>
  <c r="L563" i="1"/>
  <c r="E539" i="36" s="1"/>
  <c r="J1255" i="1"/>
  <c r="J805" i="1"/>
  <c r="J255" i="1" s="1"/>
  <c r="AB144" i="49"/>
  <c r="O970" i="1" s="1"/>
  <c r="J1262" i="1"/>
  <c r="L570" i="1"/>
  <c r="E546" i="36" s="1"/>
  <c r="J715" i="1"/>
  <c r="J165" i="1" s="1"/>
  <c r="AB54" i="49"/>
  <c r="O880" i="1" s="1"/>
  <c r="P921" i="1"/>
  <c r="AB147" i="49"/>
  <c r="O973" i="1" s="1"/>
  <c r="J808" i="1"/>
  <c r="J258" i="1" s="1"/>
  <c r="L583" i="1"/>
  <c r="E559" i="36" s="1"/>
  <c r="J1275" i="1"/>
  <c r="J1274" i="1"/>
  <c r="L582" i="1"/>
  <c r="E558" i="36" s="1"/>
  <c r="K563" i="1"/>
  <c r="E453" i="36" s="1"/>
  <c r="I1255" i="1"/>
  <c r="P990" i="1"/>
  <c r="D170" i="49"/>
  <c r="F831" i="1" s="1"/>
  <c r="E8" i="39" s="1"/>
  <c r="L557" i="1"/>
  <c r="J1249" i="1"/>
  <c r="J235" i="1"/>
  <c r="E1269" i="1" s="1"/>
  <c r="F173" i="22"/>
  <c r="G173" i="22" s="1"/>
  <c r="I173" i="22" s="1"/>
  <c r="K173" i="22" s="1"/>
  <c r="I1249" i="1"/>
  <c r="K557" i="1"/>
  <c r="G871" i="1"/>
  <c r="J701" i="1"/>
  <c r="J151" i="1" s="1"/>
  <c r="AB40" i="49"/>
  <c r="O866" i="1" s="1"/>
  <c r="E806" i="1"/>
  <c r="E256" i="1" s="1"/>
  <c r="H145" i="49"/>
  <c r="P563" i="1"/>
  <c r="N1255" i="1"/>
  <c r="K1275" i="1"/>
  <c r="M583" i="1"/>
  <c r="E645" i="36" s="1"/>
  <c r="AB33" i="49"/>
  <c r="O859" i="1" s="1"/>
  <c r="J694" i="1"/>
  <c r="J144" i="1" s="1"/>
  <c r="H585" i="1"/>
  <c r="H632" i="1" s="1"/>
  <c r="E193" i="36"/>
  <c r="I1267" i="1"/>
  <c r="E465" i="36"/>
  <c r="P852" i="1"/>
  <c r="I706" i="1"/>
  <c r="I156" i="1" s="1"/>
  <c r="G170" i="49"/>
  <c r="I831" i="1" s="1"/>
  <c r="H45" i="49"/>
  <c r="Q170" i="49"/>
  <c r="H60" i="49"/>
  <c r="F170" i="49"/>
  <c r="H831" i="1" s="1"/>
  <c r="G995" i="1"/>
  <c r="G584" i="1" s="1"/>
  <c r="N170" i="49"/>
  <c r="G855" i="1"/>
  <c r="G558" i="1" s="1"/>
  <c r="P561" i="1"/>
  <c r="N1253" i="1"/>
  <c r="E766" i="1"/>
  <c r="E216" i="1" s="1"/>
  <c r="H105" i="49"/>
  <c r="E580" i="1"/>
  <c r="AB121" i="49"/>
  <c r="O947" i="1" s="1"/>
  <c r="J782" i="1"/>
  <c r="J232" i="1" s="1"/>
  <c r="H153" i="49"/>
  <c r="E814" i="1"/>
  <c r="E264" i="1" s="1"/>
  <c r="K1253" i="1"/>
  <c r="M561" i="1"/>
  <c r="E623" i="36" s="1"/>
  <c r="AB91" i="49"/>
  <c r="O917" i="1" s="1"/>
  <c r="J752" i="1"/>
  <c r="C170" i="49"/>
  <c r="E831" i="1" s="1"/>
  <c r="E7" i="39" s="1"/>
  <c r="E569" i="1"/>
  <c r="J780" i="1"/>
  <c r="J230" i="1" s="1"/>
  <c r="AB119" i="49"/>
  <c r="O945" i="1" s="1"/>
  <c r="J738" i="1"/>
  <c r="J188" i="1" s="1"/>
  <c r="AB77" i="49"/>
  <c r="O903" i="1" s="1"/>
  <c r="G987" i="1"/>
  <c r="G583" i="1" s="1"/>
  <c r="J931" i="1"/>
  <c r="W170" i="49"/>
  <c r="J996" i="1" s="1"/>
  <c r="AB126" i="49"/>
  <c r="O952" i="1" s="1"/>
  <c r="J787" i="1"/>
  <c r="J237" i="1" s="1"/>
  <c r="J803" i="1"/>
  <c r="J253" i="1" s="1"/>
  <c r="AB142" i="49"/>
  <c r="O968" i="1" s="1"/>
  <c r="G830" i="1"/>
  <c r="G280" i="1" s="1"/>
  <c r="H169" i="49"/>
  <c r="Y170" i="49"/>
  <c r="L996" i="1" s="1"/>
  <c r="X170" i="49"/>
  <c r="K996" i="1" s="1"/>
  <c r="E579" i="1"/>
  <c r="K568" i="1"/>
  <c r="E458" i="36" s="1"/>
  <c r="I1260" i="1"/>
  <c r="J773" i="1"/>
  <c r="AB112" i="49"/>
  <c r="O938" i="1" s="1"/>
  <c r="AB155" i="49"/>
  <c r="O981" i="1" s="1"/>
  <c r="J816" i="1"/>
  <c r="J266" i="1" s="1"/>
  <c r="J794" i="1"/>
  <c r="J244" i="1" s="1"/>
  <c r="AB133" i="49"/>
  <c r="O959" i="1" s="1"/>
  <c r="E987" i="1"/>
  <c r="E584" i="1"/>
  <c r="J829" i="1"/>
  <c r="J279" i="1" s="1"/>
  <c r="AB168" i="49"/>
  <c r="O994" i="1" s="1"/>
  <c r="P567" i="1"/>
  <c r="N1259" i="1"/>
  <c r="F801" i="1"/>
  <c r="F251" i="1" s="1"/>
  <c r="H140" i="49"/>
  <c r="H110" i="49"/>
  <c r="E568" i="1"/>
  <c r="F576" i="1"/>
  <c r="G931" i="1"/>
  <c r="G572" i="1" s="1"/>
  <c r="F744" i="1"/>
  <c r="F194" i="1" s="1"/>
  <c r="H83" i="49"/>
  <c r="P982" i="1"/>
  <c r="S170" i="49"/>
  <c r="H996" i="1" s="1"/>
  <c r="E470" i="36"/>
  <c r="I1272" i="1"/>
  <c r="P882" i="1"/>
  <c r="N1256" i="1"/>
  <c r="P564" i="1"/>
  <c r="G966" i="1"/>
  <c r="G580" i="1" s="1"/>
  <c r="J170" i="49"/>
  <c r="E996" i="1" s="1"/>
  <c r="AB101" i="49"/>
  <c r="O927" i="1" s="1"/>
  <c r="J762" i="1"/>
  <c r="J212" i="1" s="1"/>
  <c r="D52" i="22" l="1"/>
  <c r="D58" i="22" s="1"/>
  <c r="E48" i="22"/>
  <c r="J163" i="1"/>
  <c r="E1254" i="1" s="1"/>
  <c r="O1254" i="1" s="1"/>
  <c r="H1260" i="1"/>
  <c r="I565" i="1"/>
  <c r="E283" i="36" s="1"/>
  <c r="P899" i="1"/>
  <c r="I558" i="1"/>
  <c r="E276" i="36" s="1"/>
  <c r="H1258" i="1"/>
  <c r="I559" i="1"/>
  <c r="E277" i="36" s="1"/>
  <c r="H1273" i="1"/>
  <c r="I583" i="1"/>
  <c r="E301" i="36" s="1"/>
  <c r="I560" i="1"/>
  <c r="E278" i="36" s="1"/>
  <c r="H1256" i="1"/>
  <c r="G1268" i="1"/>
  <c r="E122" i="36"/>
  <c r="J176" i="1"/>
  <c r="E1256" i="1" s="1"/>
  <c r="AB117" i="49"/>
  <c r="O943" i="1" s="1"/>
  <c r="I473" i="1"/>
  <c r="AB65" i="49"/>
  <c r="O891" i="1" s="1"/>
  <c r="P847" i="1"/>
  <c r="G1249" i="1"/>
  <c r="P895" i="1"/>
  <c r="H1265" i="1"/>
  <c r="P936" i="1"/>
  <c r="Q577" i="1"/>
  <c r="AB29" i="49"/>
  <c r="O855" i="1" s="1"/>
  <c r="AB69" i="49"/>
  <c r="O895" i="1" s="1"/>
  <c r="H1276" i="1"/>
  <c r="P904" i="1"/>
  <c r="P948" i="1"/>
  <c r="H1259" i="1"/>
  <c r="H1271" i="1"/>
  <c r="P863" i="1"/>
  <c r="G1258" i="1"/>
  <c r="G573" i="1"/>
  <c r="E119" i="36" s="1"/>
  <c r="O1269" i="1"/>
  <c r="H1272" i="1"/>
  <c r="G1251" i="1"/>
  <c r="H1268" i="1"/>
  <c r="H1267" i="1"/>
  <c r="H1253" i="1"/>
  <c r="E763" i="36"/>
  <c r="A763" i="36" s="1"/>
  <c r="G1257" i="1"/>
  <c r="G1276" i="1"/>
  <c r="AB50" i="49"/>
  <c r="O876" i="1" s="1"/>
  <c r="H1270" i="1"/>
  <c r="P995" i="1"/>
  <c r="G563" i="1"/>
  <c r="E109" i="36" s="1"/>
  <c r="G565" i="1"/>
  <c r="E111" i="36" s="1"/>
  <c r="P886" i="1"/>
  <c r="E885" i="36"/>
  <c r="A885" i="36" s="1"/>
  <c r="G566" i="1"/>
  <c r="AB21" i="49"/>
  <c r="O847" i="1" s="1"/>
  <c r="J184" i="1"/>
  <c r="E1258" i="1" s="1"/>
  <c r="G1259" i="1"/>
  <c r="G564" i="1"/>
  <c r="Q564" i="1" s="1"/>
  <c r="G1253" i="1"/>
  <c r="P876" i="1"/>
  <c r="P891" i="1"/>
  <c r="P909" i="1"/>
  <c r="I569" i="1"/>
  <c r="E287" i="36" s="1"/>
  <c r="H1262" i="1"/>
  <c r="J161" i="1"/>
  <c r="E1253" i="1" s="1"/>
  <c r="Q571" i="1"/>
  <c r="G1267" i="1"/>
  <c r="P943" i="1"/>
  <c r="F1327" i="1"/>
  <c r="P961" i="1"/>
  <c r="G1271" i="1"/>
  <c r="O1263" i="1"/>
  <c r="AB97" i="49"/>
  <c r="O923" i="1" s="1"/>
  <c r="J189" i="1"/>
  <c r="E1259" i="1" s="1"/>
  <c r="AB78" i="49"/>
  <c r="O904" i="1" s="1"/>
  <c r="G1260" i="1"/>
  <c r="Q567" i="1"/>
  <c r="AB73" i="49"/>
  <c r="O899" i="1" s="1"/>
  <c r="AB130" i="49"/>
  <c r="O956" i="1" s="1"/>
  <c r="F166" i="22"/>
  <c r="G166" i="22" s="1"/>
  <c r="I166" i="22" s="1"/>
  <c r="K166" i="22" s="1"/>
  <c r="E764" i="36"/>
  <c r="A764" i="36" s="1"/>
  <c r="E766" i="36"/>
  <c r="A766" i="36" s="1"/>
  <c r="A930" i="36"/>
  <c r="Q576" i="1"/>
  <c r="AB135" i="49"/>
  <c r="O961" i="1" s="1"/>
  <c r="H1274" i="1"/>
  <c r="P979" i="1"/>
  <c r="A927" i="36"/>
  <c r="E765" i="36"/>
  <c r="A765" i="36" s="1"/>
  <c r="AB161" i="49"/>
  <c r="O987" i="1" s="1"/>
  <c r="G1261" i="1"/>
  <c r="P917" i="1"/>
  <c r="I996" i="1"/>
  <c r="E49" i="22"/>
  <c r="F179" i="22"/>
  <c r="G179" i="22" s="1"/>
  <c r="I179" i="22" s="1"/>
  <c r="K179" i="22" s="1"/>
  <c r="J272" i="1"/>
  <c r="E1275" i="1" s="1"/>
  <c r="G473" i="1"/>
  <c r="A806" i="36"/>
  <c r="A805" i="36"/>
  <c r="N1085" i="1"/>
  <c r="A807" i="36"/>
  <c r="A809" i="36"/>
  <c r="A808" i="36"/>
  <c r="A804" i="36"/>
  <c r="E45" i="22"/>
  <c r="G1270" i="1"/>
  <c r="G578" i="1"/>
  <c r="P956" i="1"/>
  <c r="E484" i="39"/>
  <c r="O1243" i="1"/>
  <c r="G1274" i="1"/>
  <c r="F175" i="22"/>
  <c r="G175" i="22" s="1"/>
  <c r="I175" i="22" s="1"/>
  <c r="K175" i="22" s="1"/>
  <c r="J246" i="1"/>
  <c r="E1271" i="1" s="1"/>
  <c r="F71" i="22"/>
  <c r="G71" i="22" s="1"/>
  <c r="I71" i="22" s="1"/>
  <c r="K71" i="22" s="1"/>
  <c r="E1241" i="1"/>
  <c r="A902" i="36"/>
  <c r="A901" i="36"/>
  <c r="A918" i="36"/>
  <c r="E483" i="39"/>
  <c r="O1242" i="1"/>
  <c r="AD21" i="29"/>
  <c r="J170" i="29"/>
  <c r="C11" i="22"/>
  <c r="F11" i="22" s="1"/>
  <c r="E40" i="22"/>
  <c r="C52" i="22"/>
  <c r="E541" i="39"/>
  <c r="O1282" i="1"/>
  <c r="A829" i="36"/>
  <c r="A828" i="36"/>
  <c r="A830" i="36"/>
  <c r="A827" i="36"/>
  <c r="E891" i="36"/>
  <c r="A891" i="36" s="1"/>
  <c r="F219" i="22"/>
  <c r="G219" i="22" s="1"/>
  <c r="I219" i="22" s="1"/>
  <c r="K219" i="22" s="1"/>
  <c r="E543" i="39"/>
  <c r="O1280" i="1"/>
  <c r="E474" i="36"/>
  <c r="E767" i="36"/>
  <c r="A767" i="36" s="1"/>
  <c r="C56" i="22"/>
  <c r="E56" i="22" s="1"/>
  <c r="E54" i="22"/>
  <c r="G996" i="1"/>
  <c r="E518" i="39"/>
  <c r="O1279" i="1"/>
  <c r="K1250" i="1"/>
  <c r="K1277" i="1" s="1"/>
  <c r="K1327" i="1" s="1"/>
  <c r="M558" i="1"/>
  <c r="F154" i="22"/>
  <c r="G154" i="22" s="1"/>
  <c r="I154" i="22" s="1"/>
  <c r="K154" i="22" s="1"/>
  <c r="J140" i="1"/>
  <c r="E1250" i="1" s="1"/>
  <c r="F174" i="22"/>
  <c r="G174" i="22" s="1"/>
  <c r="I174" i="22" s="1"/>
  <c r="K174" i="22" s="1"/>
  <c r="J241" i="1"/>
  <c r="E1270" i="1" s="1"/>
  <c r="Q580" i="1"/>
  <c r="E126" i="36"/>
  <c r="AB110" i="49"/>
  <c r="O936" i="1" s="1"/>
  <c r="J771" i="1"/>
  <c r="E125" i="36"/>
  <c r="Q579" i="1"/>
  <c r="J572" i="1"/>
  <c r="Q572" i="1" s="1"/>
  <c r="H1264" i="1"/>
  <c r="J202" i="1"/>
  <c r="E1261" i="1" s="1"/>
  <c r="F165" i="22"/>
  <c r="G165" i="22" s="1"/>
  <c r="I165" i="22" s="1"/>
  <c r="K165" i="22" s="1"/>
  <c r="E473" i="1"/>
  <c r="E559" i="39"/>
  <c r="E12" i="39"/>
  <c r="E447" i="36"/>
  <c r="K632" i="1"/>
  <c r="AB140" i="49"/>
  <c r="O966" i="1" s="1"/>
  <c r="J801" i="1"/>
  <c r="AB60" i="49"/>
  <c r="O886" i="1" s="1"/>
  <c r="J721" i="1"/>
  <c r="I1277" i="1"/>
  <c r="I1327" i="1" s="1"/>
  <c r="E121" i="36"/>
  <c r="Q575" i="1"/>
  <c r="G1264" i="1"/>
  <c r="J783" i="1"/>
  <c r="AB122" i="49"/>
  <c r="O948" i="1" s="1"/>
  <c r="E103" i="36"/>
  <c r="P931" i="1"/>
  <c r="G581" i="1"/>
  <c r="P971" i="1"/>
  <c r="G1273" i="1"/>
  <c r="E130" i="36"/>
  <c r="Q584" i="1"/>
  <c r="E115" i="36"/>
  <c r="P923" i="1"/>
  <c r="G1262" i="1"/>
  <c r="E570" i="1"/>
  <c r="P560" i="1"/>
  <c r="P585" i="1" s="1"/>
  <c r="P632" i="1" s="1"/>
  <c r="F146" i="22" s="1"/>
  <c r="G146" i="22" s="1"/>
  <c r="I146" i="22" s="1"/>
  <c r="K146" i="22" s="1"/>
  <c r="N1252" i="1"/>
  <c r="N1277" i="1" s="1"/>
  <c r="N1327" i="1" s="1"/>
  <c r="E128" i="36"/>
  <c r="Q582" i="1"/>
  <c r="E118" i="36"/>
  <c r="J698" i="1"/>
  <c r="AB37" i="49"/>
  <c r="O863" i="1" s="1"/>
  <c r="F138" i="22"/>
  <c r="G138" i="22" s="1"/>
  <c r="I138" i="22" s="1"/>
  <c r="K138" i="22" s="1"/>
  <c r="E262" i="36"/>
  <c r="A262" i="36" s="1"/>
  <c r="I557" i="1"/>
  <c r="H1249" i="1"/>
  <c r="F473" i="1"/>
  <c r="E566" i="39" s="1"/>
  <c r="E762" i="36"/>
  <c r="A762" i="36" s="1"/>
  <c r="F161" i="22"/>
  <c r="G161" i="22" s="1"/>
  <c r="I161" i="22" s="1"/>
  <c r="K161" i="22" s="1"/>
  <c r="J180" i="1"/>
  <c r="E1257" i="1" s="1"/>
  <c r="E114" i="36"/>
  <c r="Q568" i="1"/>
  <c r="E583" i="1"/>
  <c r="P987" i="1"/>
  <c r="G1275" i="1"/>
  <c r="Q561" i="1"/>
  <c r="AB153" i="49"/>
  <c r="O979" i="1" s="1"/>
  <c r="J814" i="1"/>
  <c r="G1272" i="1"/>
  <c r="J706" i="1"/>
  <c r="AB45" i="49"/>
  <c r="O871" i="1" s="1"/>
  <c r="AB145" i="49"/>
  <c r="O971" i="1" s="1"/>
  <c r="J806" i="1"/>
  <c r="P871" i="1"/>
  <c r="G560" i="1"/>
  <c r="G1252" i="1"/>
  <c r="J223" i="1"/>
  <c r="E1266" i="1" s="1"/>
  <c r="O1266" i="1" s="1"/>
  <c r="F170" i="22"/>
  <c r="G170" i="22" s="1"/>
  <c r="I170" i="22" s="1"/>
  <c r="K170" i="22" s="1"/>
  <c r="P966" i="1"/>
  <c r="J1277" i="1"/>
  <c r="J1327" i="1" s="1"/>
  <c r="F558" i="1"/>
  <c r="F585" i="1" s="1"/>
  <c r="P855" i="1"/>
  <c r="G1250" i="1"/>
  <c r="I563" i="1"/>
  <c r="H1255" i="1"/>
  <c r="H170" i="49"/>
  <c r="J831" i="1" s="1"/>
  <c r="F181" i="22" s="1"/>
  <c r="G181" i="22" s="1"/>
  <c r="I181" i="22" s="1"/>
  <c r="K181" i="22" s="1"/>
  <c r="J744" i="1"/>
  <c r="AB83" i="49"/>
  <c r="O909" i="1" s="1"/>
  <c r="AB169" i="49"/>
  <c r="O995" i="1" s="1"/>
  <c r="J830" i="1"/>
  <c r="E10" i="39"/>
  <c r="AB105" i="49"/>
  <c r="O931" i="1" s="1"/>
  <c r="J766" i="1"/>
  <c r="E533" i="36"/>
  <c r="L585" i="1"/>
  <c r="L632" i="1" s="1"/>
  <c r="F171" i="22"/>
  <c r="G171" i="22" s="1"/>
  <c r="I171" i="22" s="1"/>
  <c r="K171" i="22" s="1"/>
  <c r="J228" i="1"/>
  <c r="E1267" i="1" s="1"/>
  <c r="J132" i="1"/>
  <c r="E1249" i="1" s="1"/>
  <c r="F153" i="22"/>
  <c r="G153" i="22" s="1"/>
  <c r="I153" i="22" s="1"/>
  <c r="K153" i="22" s="1"/>
  <c r="P996" i="1" l="1"/>
  <c r="Q559" i="1"/>
  <c r="O1256" i="1"/>
  <c r="Q573" i="1"/>
  <c r="O1258" i="1"/>
  <c r="O1257" i="1"/>
  <c r="F258" i="22"/>
  <c r="F260" i="22" s="1"/>
  <c r="G260" i="22" s="1"/>
  <c r="I260" i="22" s="1"/>
  <c r="K260" i="22" s="1"/>
  <c r="Q565" i="1"/>
  <c r="Q569" i="1"/>
  <c r="O1267" i="1"/>
  <c r="O1261" i="1"/>
  <c r="O1253" i="1"/>
  <c r="O1259" i="1"/>
  <c r="Q566" i="1"/>
  <c r="E112" i="36"/>
  <c r="O1271" i="1"/>
  <c r="O1262" i="1"/>
  <c r="E110" i="36"/>
  <c r="O1270" i="1"/>
  <c r="O1275" i="1"/>
  <c r="E124" i="36"/>
  <c r="Q578" i="1"/>
  <c r="C58" i="22"/>
  <c r="E52" i="22"/>
  <c r="E58" i="22" s="1"/>
  <c r="E14" i="39"/>
  <c r="E16" i="39" s="1"/>
  <c r="C20" i="22" s="1"/>
  <c r="G1277" i="1"/>
  <c r="G1327" i="1" s="1"/>
  <c r="E482" i="39"/>
  <c r="O1241" i="1"/>
  <c r="F168" i="22"/>
  <c r="G168" i="22" s="1"/>
  <c r="I168" i="22" s="1"/>
  <c r="K168" i="22" s="1"/>
  <c r="J216" i="1"/>
  <c r="E1264" i="1" s="1"/>
  <c r="O1264" i="1" s="1"/>
  <c r="E116" i="36"/>
  <c r="Q570" i="1"/>
  <c r="E281" i="36"/>
  <c r="Q563" i="1"/>
  <c r="F177" i="22"/>
  <c r="G177" i="22" s="1"/>
  <c r="I177" i="22" s="1"/>
  <c r="K177" i="22" s="1"/>
  <c r="J256" i="1"/>
  <c r="E1273" i="1" s="1"/>
  <c r="O1273" i="1" s="1"/>
  <c r="F632" i="1"/>
  <c r="I47" i="50" s="1"/>
  <c r="Q558" i="1"/>
  <c r="E104" i="36"/>
  <c r="H1277" i="1"/>
  <c r="H1327" i="1" s="1"/>
  <c r="E620" i="36"/>
  <c r="M585" i="1"/>
  <c r="M632" i="1" s="1"/>
  <c r="F176" i="22"/>
  <c r="G176" i="22" s="1"/>
  <c r="I176" i="22" s="1"/>
  <c r="K176" i="22" s="1"/>
  <c r="J251" i="1"/>
  <c r="E1272" i="1" s="1"/>
  <c r="O1272" i="1" s="1"/>
  <c r="J148" i="1"/>
  <c r="E1251" i="1" s="1"/>
  <c r="O1251" i="1" s="1"/>
  <c r="F155" i="22"/>
  <c r="G155" i="22" s="1"/>
  <c r="I155" i="22" s="1"/>
  <c r="K155" i="22" s="1"/>
  <c r="Q581" i="1"/>
  <c r="E127" i="36"/>
  <c r="A756" i="36"/>
  <c r="A761" i="36"/>
  <c r="A760" i="36"/>
  <c r="A757" i="36"/>
  <c r="A759" i="36"/>
  <c r="A758" i="36"/>
  <c r="E568" i="39"/>
  <c r="E569" i="39" s="1"/>
  <c r="E520" i="36"/>
  <c r="A520" i="36" s="1"/>
  <c r="F141" i="22"/>
  <c r="G141" i="22" s="1"/>
  <c r="I141" i="22" s="1"/>
  <c r="K141" i="22" s="1"/>
  <c r="E376" i="36"/>
  <c r="J585" i="1"/>
  <c r="J632" i="1" s="1"/>
  <c r="F180" i="22"/>
  <c r="G180" i="22" s="1"/>
  <c r="I180" i="22" s="1"/>
  <c r="K180" i="22" s="1"/>
  <c r="J280" i="1"/>
  <c r="E1276" i="1" s="1"/>
  <c r="O1276" i="1" s="1"/>
  <c r="E106" i="36"/>
  <c r="Q560" i="1"/>
  <c r="E129" i="36"/>
  <c r="Q583" i="1"/>
  <c r="E585" i="1"/>
  <c r="F156" i="22"/>
  <c r="G156" i="22" s="1"/>
  <c r="I156" i="22" s="1"/>
  <c r="K156" i="22" s="1"/>
  <c r="J156" i="1"/>
  <c r="E1252" i="1" s="1"/>
  <c r="O1252" i="1" s="1"/>
  <c r="I585" i="1"/>
  <c r="I632" i="1" s="1"/>
  <c r="E275" i="36"/>
  <c r="Q557" i="1"/>
  <c r="J221" i="1"/>
  <c r="E1265" i="1" s="1"/>
  <c r="O1265" i="1" s="1"/>
  <c r="F169" i="22"/>
  <c r="G169" i="22" s="1"/>
  <c r="I169" i="22" s="1"/>
  <c r="K169" i="22" s="1"/>
  <c r="O1249" i="1"/>
  <c r="F142" i="22"/>
  <c r="G142" i="22" s="1"/>
  <c r="I142" i="22" s="1"/>
  <c r="K142" i="22" s="1"/>
  <c r="E606" i="36"/>
  <c r="A606" i="36" s="1"/>
  <c r="J171" i="1"/>
  <c r="E1255" i="1" s="1"/>
  <c r="O1255" i="1" s="1"/>
  <c r="F159" i="22"/>
  <c r="G159" i="22" s="1"/>
  <c r="I159" i="22" s="1"/>
  <c r="K159" i="22" s="1"/>
  <c r="J473" i="1"/>
  <c r="O1250" i="1"/>
  <c r="G585" i="1"/>
  <c r="G632" i="1" s="1"/>
  <c r="J194" i="1"/>
  <c r="E1260" i="1" s="1"/>
  <c r="O1260" i="1" s="1"/>
  <c r="F164" i="22"/>
  <c r="G164" i="22" s="1"/>
  <c r="I164" i="22" s="1"/>
  <c r="K164" i="22" s="1"/>
  <c r="AB170" i="49"/>
  <c r="O996" i="1" s="1"/>
  <c r="E888" i="36" s="1"/>
  <c r="A888" i="36" s="1"/>
  <c r="A208" i="36"/>
  <c r="A254" i="36"/>
  <c r="A241" i="36"/>
  <c r="A256" i="36"/>
  <c r="A260" i="36"/>
  <c r="A196" i="36"/>
  <c r="A201" i="36"/>
  <c r="A217" i="36"/>
  <c r="A189" i="36"/>
  <c r="A222" i="36"/>
  <c r="A218" i="36"/>
  <c r="A226" i="36"/>
  <c r="A221" i="36"/>
  <c r="A197" i="36"/>
  <c r="A177" i="36"/>
  <c r="A250" i="36"/>
  <c r="A227" i="36"/>
  <c r="A261" i="36"/>
  <c r="A223" i="36"/>
  <c r="A244" i="36"/>
  <c r="A180" i="36"/>
  <c r="A203" i="36"/>
  <c r="A192" i="36"/>
  <c r="A248" i="36"/>
  <c r="A220" i="36"/>
  <c r="A224" i="36"/>
  <c r="A207" i="36"/>
  <c r="A259" i="36"/>
  <c r="A209" i="36"/>
  <c r="A215" i="36"/>
  <c r="A182" i="36"/>
  <c r="A178" i="36"/>
  <c r="A246" i="36"/>
  <c r="A200" i="36"/>
  <c r="A251" i="36"/>
  <c r="A255" i="36"/>
  <c r="A236" i="36"/>
  <c r="A219" i="36"/>
  <c r="A198" i="36"/>
  <c r="A213" i="36"/>
  <c r="A214" i="36"/>
  <c r="A232" i="36"/>
  <c r="A234" i="36"/>
  <c r="A205" i="36"/>
  <c r="A195" i="36"/>
  <c r="A245" i="36"/>
  <c r="A216" i="36"/>
  <c r="A210" i="36"/>
  <c r="A249" i="36"/>
  <c r="A257" i="36"/>
  <c r="A238" i="36"/>
  <c r="A253" i="36"/>
  <c r="A188" i="36"/>
  <c r="A187" i="36"/>
  <c r="A231" i="36"/>
  <c r="A242" i="36"/>
  <c r="A252" i="36"/>
  <c r="A239" i="36"/>
  <c r="A204" i="36"/>
  <c r="A184" i="36"/>
  <c r="A212" i="36"/>
  <c r="A202" i="36"/>
  <c r="A179" i="36"/>
  <c r="A206" i="36"/>
  <c r="A186" i="36"/>
  <c r="A233" i="36"/>
  <c r="A247" i="36"/>
  <c r="A185" i="36"/>
  <c r="A225" i="36"/>
  <c r="A190" i="36"/>
  <c r="A194" i="36"/>
  <c r="A211" i="36"/>
  <c r="A183" i="36"/>
  <c r="A199" i="36"/>
  <c r="A191" i="36"/>
  <c r="A229" i="36"/>
  <c r="A230" i="36"/>
  <c r="A228" i="36"/>
  <c r="A193" i="36"/>
  <c r="A240" i="36"/>
  <c r="A258" i="36"/>
  <c r="A237" i="36"/>
  <c r="A235" i="36"/>
  <c r="A181" i="36"/>
  <c r="A243" i="36"/>
  <c r="J264" i="1"/>
  <c r="E1274" i="1" s="1"/>
  <c r="O1274" i="1" s="1"/>
  <c r="F178" i="22"/>
  <c r="G178" i="22" s="1"/>
  <c r="I178" i="22" s="1"/>
  <c r="K178" i="22" s="1"/>
  <c r="J233" i="1"/>
  <c r="E1268" i="1" s="1"/>
  <c r="O1268" i="1" s="1"/>
  <c r="F172" i="22"/>
  <c r="G172" i="22" s="1"/>
  <c r="I172" i="22" s="1"/>
  <c r="K172" i="22" s="1"/>
  <c r="G258" i="22" l="1"/>
  <c r="I258" i="22" s="1"/>
  <c r="K258" i="22" s="1"/>
  <c r="C15" i="22"/>
  <c r="F15" i="22" s="1"/>
  <c r="C18" i="22"/>
  <c r="C10" i="22"/>
  <c r="F10" i="22" s="1"/>
  <c r="C19" i="22"/>
  <c r="F19" i="22" s="1"/>
  <c r="C16" i="22"/>
  <c r="C17" i="22"/>
  <c r="D14" i="22"/>
  <c r="F14" i="22" s="1"/>
  <c r="D18" i="22"/>
  <c r="D20" i="22"/>
  <c r="F20" i="22" s="1"/>
  <c r="D17" i="22"/>
  <c r="D16" i="22"/>
  <c r="F108" i="22"/>
  <c r="G108" i="22" s="1"/>
  <c r="I108" i="22" s="1"/>
  <c r="K108" i="22" s="1"/>
  <c r="E884" i="36"/>
  <c r="A884" i="36" s="1"/>
  <c r="Q585" i="1"/>
  <c r="E632" i="1"/>
  <c r="F140" i="22"/>
  <c r="G140" i="22" s="1"/>
  <c r="I140" i="22" s="1"/>
  <c r="K140" i="22" s="1"/>
  <c r="E434" i="36"/>
  <c r="A434" i="36" s="1"/>
  <c r="E1277" i="1"/>
  <c r="A579" i="36"/>
  <c r="A604" i="36"/>
  <c r="A595" i="36"/>
  <c r="A592" i="36"/>
  <c r="A580" i="36"/>
  <c r="A530" i="36"/>
  <c r="A551" i="36"/>
  <c r="A577" i="36"/>
  <c r="A532" i="36"/>
  <c r="A582" i="36"/>
  <c r="A584" i="36"/>
  <c r="A528" i="36"/>
  <c r="A538" i="36"/>
  <c r="A533" i="36"/>
  <c r="A531" i="36"/>
  <c r="A527" i="36"/>
  <c r="A574" i="36"/>
  <c r="A525" i="36"/>
  <c r="A560" i="36"/>
  <c r="A549" i="36"/>
  <c r="A600" i="36"/>
  <c r="A564" i="36"/>
  <c r="A591" i="36"/>
  <c r="A557" i="36"/>
  <c r="A601" i="36"/>
  <c r="A599" i="36"/>
  <c r="A541" i="36"/>
  <c r="A545" i="36"/>
  <c r="A566" i="36"/>
  <c r="A553" i="36"/>
  <c r="A561" i="36"/>
  <c r="A559" i="36"/>
  <c r="A554" i="36"/>
  <c r="A569" i="36"/>
  <c r="A590" i="36"/>
  <c r="A556" i="36"/>
  <c r="A568" i="36"/>
  <c r="A578" i="36"/>
  <c r="A547" i="36"/>
  <c r="A522" i="36"/>
  <c r="A546" i="36"/>
  <c r="A602" i="36"/>
  <c r="A521" i="36"/>
  <c r="A570" i="36"/>
  <c r="A529" i="36"/>
  <c r="A597" i="36"/>
  <c r="A598" i="36"/>
  <c r="A588" i="36"/>
  <c r="A552" i="36"/>
  <c r="A583" i="36"/>
  <c r="A596" i="36"/>
  <c r="A544" i="36"/>
  <c r="A534" i="36"/>
  <c r="A535" i="36"/>
  <c r="A581" i="36"/>
  <c r="A586" i="36"/>
  <c r="A573" i="36"/>
  <c r="A537" i="36"/>
  <c r="A605" i="36"/>
  <c r="A589" i="36"/>
  <c r="A565" i="36"/>
  <c r="A572" i="36"/>
  <c r="A539" i="36"/>
  <c r="A548" i="36"/>
  <c r="A526" i="36"/>
  <c r="A575" i="36"/>
  <c r="A567" i="36"/>
  <c r="A555" i="36"/>
  <c r="A603" i="36"/>
  <c r="A594" i="36"/>
  <c r="A558" i="36"/>
  <c r="A550" i="36"/>
  <c r="A543" i="36"/>
  <c r="A523" i="36"/>
  <c r="A562" i="36"/>
  <c r="A542" i="36"/>
  <c r="A587" i="36"/>
  <c r="A571" i="36"/>
  <c r="A536" i="36"/>
  <c r="A576" i="36"/>
  <c r="A563" i="36"/>
  <c r="A524" i="36"/>
  <c r="A585" i="36"/>
  <c r="A593" i="36"/>
  <c r="A540" i="36"/>
  <c r="F143" i="22"/>
  <c r="G143" i="22" s="1"/>
  <c r="I143" i="22" s="1"/>
  <c r="K143" i="22" s="1"/>
  <c r="E697" i="36"/>
  <c r="A697" i="36" s="1"/>
  <c r="A495" i="36"/>
  <c r="A456" i="36"/>
  <c r="A517" i="36"/>
  <c r="A437" i="36"/>
  <c r="A502" i="36"/>
  <c r="A500" i="36"/>
  <c r="A501" i="36"/>
  <c r="A454" i="36"/>
  <c r="A463" i="36"/>
  <c r="A472" i="36"/>
  <c r="A446" i="36"/>
  <c r="A458" i="36"/>
  <c r="A498" i="36"/>
  <c r="A481" i="36"/>
  <c r="A493" i="36"/>
  <c r="A479" i="36"/>
  <c r="A455" i="36"/>
  <c r="A497" i="36"/>
  <c r="A504" i="36"/>
  <c r="A508" i="36"/>
  <c r="A512" i="36"/>
  <c r="A448" i="36"/>
  <c r="A499" i="36"/>
  <c r="A515" i="36"/>
  <c r="A469" i="36"/>
  <c r="A438" i="36"/>
  <c r="A474" i="36"/>
  <c r="A503" i="36"/>
  <c r="A505" i="36"/>
  <c r="A516" i="36"/>
  <c r="A488" i="36"/>
  <c r="A459" i="36"/>
  <c r="A492" i="36"/>
  <c r="A483" i="36"/>
  <c r="A491" i="36"/>
  <c r="A473" i="36"/>
  <c r="A511" i="36"/>
  <c r="A447" i="36"/>
  <c r="A467" i="36"/>
  <c r="A487" i="36"/>
  <c r="A510" i="36"/>
  <c r="A514" i="36"/>
  <c r="A482" i="36"/>
  <c r="A484" i="36"/>
  <c r="A451" i="36"/>
  <c r="A489" i="36"/>
  <c r="A506" i="36"/>
  <c r="A464" i="36"/>
  <c r="A507" i="36"/>
  <c r="A466" i="36"/>
  <c r="A475" i="36"/>
  <c r="A468" i="36"/>
  <c r="A436" i="36"/>
  <c r="A518" i="36"/>
  <c r="A476" i="36"/>
  <c r="A494" i="36"/>
  <c r="A480" i="36"/>
  <c r="A444" i="36"/>
  <c r="A457" i="36"/>
  <c r="A443" i="36"/>
  <c r="A470" i="36"/>
  <c r="A496" i="36"/>
  <c r="A439" i="36"/>
  <c r="A485" i="36"/>
  <c r="A440" i="36"/>
  <c r="A471" i="36"/>
  <c r="A477" i="36"/>
  <c r="A449" i="36"/>
  <c r="A486" i="36"/>
  <c r="A462" i="36"/>
  <c r="A519" i="36"/>
  <c r="A435" i="36"/>
  <c r="A442" i="36"/>
  <c r="A450" i="36"/>
  <c r="A453" i="36"/>
  <c r="A461" i="36"/>
  <c r="A441" i="36"/>
  <c r="A465" i="36"/>
  <c r="A513" i="36"/>
  <c r="A478" i="36"/>
  <c r="A445" i="36"/>
  <c r="A490" i="36"/>
  <c r="A509" i="36"/>
  <c r="A460" i="36"/>
  <c r="A452" i="36"/>
  <c r="I50" i="50"/>
  <c r="F266" i="22"/>
  <c r="F139" i="22"/>
  <c r="G139" i="22" s="1"/>
  <c r="I139" i="22" s="1"/>
  <c r="K139" i="22" s="1"/>
  <c r="E348" i="36"/>
  <c r="A348" i="36" s="1"/>
  <c r="F18" i="22" l="1"/>
  <c r="C22" i="22"/>
  <c r="C28" i="22" s="1"/>
  <c r="F17" i="22"/>
  <c r="F16" i="22"/>
  <c r="D22" i="22"/>
  <c r="D28" i="22" s="1"/>
  <c r="A333" i="36"/>
  <c r="A323" i="36"/>
  <c r="A313" i="36"/>
  <c r="A295" i="36"/>
  <c r="A280" i="36"/>
  <c r="A332" i="36"/>
  <c r="A292" i="36"/>
  <c r="A339" i="36"/>
  <c r="A345" i="36"/>
  <c r="A310" i="36"/>
  <c r="A329" i="36"/>
  <c r="A285" i="36"/>
  <c r="A299" i="36"/>
  <c r="A327" i="36"/>
  <c r="A290" i="36"/>
  <c r="A316" i="36"/>
  <c r="A288" i="36"/>
  <c r="A326" i="36"/>
  <c r="A302" i="36"/>
  <c r="A306" i="36"/>
  <c r="A281" i="36"/>
  <c r="A291" i="36"/>
  <c r="A278" i="36"/>
  <c r="A269" i="36"/>
  <c r="A315" i="36"/>
  <c r="A298" i="36"/>
  <c r="A297" i="36"/>
  <c r="A328" i="36"/>
  <c r="A346" i="36"/>
  <c r="A273" i="36"/>
  <c r="A283" i="36"/>
  <c r="A265" i="36"/>
  <c r="A303" i="36"/>
  <c r="A347" i="36"/>
  <c r="A312" i="36"/>
  <c r="A304" i="36"/>
  <c r="A319" i="36"/>
  <c r="A268" i="36"/>
  <c r="A320" i="36"/>
  <c r="A274" i="36"/>
  <c r="A336" i="36"/>
  <c r="A311" i="36"/>
  <c r="A341" i="36"/>
  <c r="A342" i="36"/>
  <c r="A277" i="36"/>
  <c r="A271" i="36"/>
  <c r="A307" i="36"/>
  <c r="A340" i="36"/>
  <c r="A308" i="36"/>
  <c r="A286" i="36"/>
  <c r="A267" i="36"/>
  <c r="A300" i="36"/>
  <c r="A301" i="36"/>
  <c r="A337" i="36"/>
  <c r="A344" i="36"/>
  <c r="A294" i="36"/>
  <c r="A305" i="36"/>
  <c r="A318" i="36"/>
  <c r="A322" i="36"/>
  <c r="A282" i="36"/>
  <c r="A284" i="36"/>
  <c r="A321" i="36"/>
  <c r="A287" i="36"/>
  <c r="A324" i="36"/>
  <c r="A264" i="36"/>
  <c r="A275" i="36"/>
  <c r="A330" i="36"/>
  <c r="A331" i="36"/>
  <c r="A334" i="36"/>
  <c r="A338" i="36"/>
  <c r="A296" i="36"/>
  <c r="A314" i="36"/>
  <c r="A289" i="36"/>
  <c r="A293" i="36"/>
  <c r="A263" i="36"/>
  <c r="A309" i="36"/>
  <c r="A276" i="36"/>
  <c r="A270" i="36"/>
  <c r="A335" i="36"/>
  <c r="A279" i="36"/>
  <c r="A325" i="36"/>
  <c r="A272" i="36"/>
  <c r="A317" i="36"/>
  <c r="A343" i="36"/>
  <c r="A266" i="36"/>
  <c r="F137" i="22"/>
  <c r="G137" i="22" s="1"/>
  <c r="I137" i="22" s="1"/>
  <c r="K137" i="22" s="1"/>
  <c r="K262" i="22" s="1"/>
  <c r="E869" i="36" s="1"/>
  <c r="E176" i="36"/>
  <c r="I48" i="50"/>
  <c r="Q632" i="1"/>
  <c r="E886" i="36" s="1"/>
  <c r="A886" i="36" s="1"/>
  <c r="A883" i="36" s="1"/>
  <c r="E1327" i="1"/>
  <c r="O1327" i="1" s="1"/>
  <c r="I44" i="50" s="1"/>
  <c r="O1277" i="1"/>
  <c r="E515" i="39"/>
  <c r="E562" i="39" s="1"/>
  <c r="F263" i="22" s="1"/>
  <c r="A424" i="36"/>
  <c r="A402" i="36"/>
  <c r="A376" i="36"/>
  <c r="A414" i="36"/>
  <c r="A392" i="36"/>
  <c r="A363" i="36"/>
  <c r="A433" i="36"/>
  <c r="A364" i="36"/>
  <c r="A418" i="36"/>
  <c r="A380" i="36"/>
  <c r="A386" i="36"/>
  <c r="A388" i="36"/>
  <c r="A404" i="36"/>
  <c r="A425" i="36"/>
  <c r="A397" i="36"/>
  <c r="A355" i="36"/>
  <c r="A362" i="36"/>
  <c r="A416" i="36"/>
  <c r="A369" i="36"/>
  <c r="A381" i="36"/>
  <c r="A401" i="36"/>
  <c r="A352" i="36"/>
  <c r="A377" i="36"/>
  <c r="A382" i="36"/>
  <c r="A403" i="36"/>
  <c r="A407" i="36"/>
  <c r="A367" i="36"/>
  <c r="A383" i="36"/>
  <c r="A371" i="36"/>
  <c r="A393" i="36"/>
  <c r="A419" i="36"/>
  <c r="A385" i="36"/>
  <c r="A400" i="36"/>
  <c r="A417" i="36"/>
  <c r="A398" i="36"/>
  <c r="A428" i="36"/>
  <c r="A423" i="36"/>
  <c r="A372" i="36"/>
  <c r="A357" i="36"/>
  <c r="A413" i="36"/>
  <c r="A421" i="36"/>
  <c r="A396" i="36"/>
  <c r="A410" i="36"/>
  <c r="A394" i="36"/>
  <c r="A365" i="36"/>
  <c r="A405" i="36"/>
  <c r="A422" i="36"/>
  <c r="A387" i="36"/>
  <c r="A427" i="36"/>
  <c r="A415" i="36"/>
  <c r="A384" i="36"/>
  <c r="A389" i="36"/>
  <c r="A375" i="36"/>
  <c r="A358" i="36"/>
  <c r="A391" i="36"/>
  <c r="A406" i="36"/>
  <c r="A399" i="36"/>
  <c r="A426" i="36"/>
  <c r="A366" i="36"/>
  <c r="A420" i="36"/>
  <c r="A395" i="36"/>
  <c r="A390" i="36"/>
  <c r="A350" i="36"/>
  <c r="A349" i="36"/>
  <c r="A408" i="36"/>
  <c r="A356" i="36"/>
  <c r="A429" i="36"/>
  <c r="A430" i="36"/>
  <c r="A411" i="36"/>
  <c r="A361" i="36"/>
  <c r="A370" i="36"/>
  <c r="A359" i="36"/>
  <c r="A374" i="36"/>
  <c r="A353" i="36"/>
  <c r="A368" i="36"/>
  <c r="A409" i="36"/>
  <c r="A378" i="36"/>
  <c r="A351" i="36"/>
  <c r="A412" i="36"/>
  <c r="A360" i="36"/>
  <c r="A379" i="36"/>
  <c r="A373" i="36"/>
  <c r="A431" i="36"/>
  <c r="A432" i="36"/>
  <c r="A354" i="36"/>
  <c r="A663" i="36"/>
  <c r="A687" i="36"/>
  <c r="A638" i="36"/>
  <c r="A681" i="36"/>
  <c r="A644" i="36"/>
  <c r="A678" i="36"/>
  <c r="A629" i="36"/>
  <c r="A680" i="36"/>
  <c r="A651" i="36"/>
  <c r="A659" i="36"/>
  <c r="A667" i="36"/>
  <c r="A622" i="36"/>
  <c r="A670" i="36"/>
  <c r="A643" i="36"/>
  <c r="A645" i="36"/>
  <c r="A668" i="36"/>
  <c r="A633" i="36"/>
  <c r="A660" i="36"/>
  <c r="A688" i="36"/>
  <c r="A639" i="36"/>
  <c r="A664" i="36"/>
  <c r="A640" i="36"/>
  <c r="A611" i="36"/>
  <c r="A641" i="36"/>
  <c r="A652" i="36"/>
  <c r="A666" i="36"/>
  <c r="A610" i="36"/>
  <c r="A628" i="36"/>
  <c r="A650" i="36"/>
  <c r="A691" i="36"/>
  <c r="A626" i="36"/>
  <c r="A671" i="36"/>
  <c r="A669" i="36"/>
  <c r="A654" i="36"/>
  <c r="A607" i="36"/>
  <c r="A653" i="36"/>
  <c r="A690" i="36"/>
  <c r="A634" i="36"/>
  <c r="A683" i="36"/>
  <c r="A614" i="36"/>
  <c r="A609" i="36"/>
  <c r="A655" i="36"/>
  <c r="A665" i="36"/>
  <c r="A684" i="36"/>
  <c r="A620" i="36"/>
  <c r="A630" i="36"/>
  <c r="A642" i="36"/>
  <c r="A682" i="36"/>
  <c r="A625" i="36"/>
  <c r="A661" i="36"/>
  <c r="A649" i="36"/>
  <c r="A674" i="36"/>
  <c r="A693" i="36"/>
  <c r="A679" i="36"/>
  <c r="A627" i="36"/>
  <c r="A632" i="36"/>
  <c r="A616" i="36"/>
  <c r="A675" i="36"/>
  <c r="A637" i="36"/>
  <c r="A662" i="36"/>
  <c r="A686" i="36"/>
  <c r="A648" i="36"/>
  <c r="A694" i="36"/>
  <c r="A692" i="36"/>
  <c r="A617" i="36"/>
  <c r="A696" i="36"/>
  <c r="A612" i="36"/>
  <c r="A673" i="36"/>
  <c r="A647" i="36"/>
  <c r="A657" i="36"/>
  <c r="A677" i="36"/>
  <c r="A631" i="36"/>
  <c r="A623" i="36"/>
  <c r="A656" i="36"/>
  <c r="A658" i="36"/>
  <c r="A672" i="36"/>
  <c r="A685" i="36"/>
  <c r="A624" i="36"/>
  <c r="A618" i="36"/>
  <c r="A608" i="36"/>
  <c r="A676" i="36"/>
  <c r="A635" i="36"/>
  <c r="A615" i="36"/>
  <c r="A636" i="36"/>
  <c r="A689" i="36"/>
  <c r="A613" i="36"/>
  <c r="A621" i="36"/>
  <c r="A646" i="36"/>
  <c r="A619" i="36"/>
  <c r="A695" i="36"/>
  <c r="E854" i="36"/>
  <c r="A854" i="36" s="1"/>
  <c r="G266" i="22"/>
  <c r="F22" i="22" l="1"/>
  <c r="F28" i="22" s="1"/>
  <c r="F32" i="22" s="1"/>
  <c r="F33" i="22" s="1"/>
  <c r="F34" i="22" s="1"/>
  <c r="E60" i="22" s="1"/>
  <c r="E61" i="22" s="1"/>
  <c r="E62" i="22" s="1"/>
  <c r="A882" i="36"/>
  <c r="A895" i="36" s="1"/>
  <c r="A867" i="36"/>
  <c r="A870" i="36"/>
  <c r="A868" i="36"/>
  <c r="A871" i="36"/>
  <c r="A869" i="36"/>
  <c r="G263" i="22"/>
  <c r="E851" i="36"/>
  <c r="A851" i="36" s="1"/>
  <c r="A857" i="36"/>
  <c r="A856" i="36"/>
  <c r="A853" i="36"/>
  <c r="A852" i="36"/>
  <c r="A858" i="36"/>
  <c r="A855" i="36"/>
  <c r="A97" i="36"/>
  <c r="A140" i="36"/>
  <c r="A139" i="36"/>
  <c r="A155" i="36"/>
  <c r="A145" i="36"/>
  <c r="A149" i="36"/>
  <c r="A157" i="36"/>
  <c r="A170" i="36"/>
  <c r="A158" i="36"/>
  <c r="A136" i="36"/>
  <c r="A150" i="36"/>
  <c r="A151" i="36"/>
  <c r="A159" i="36"/>
  <c r="A148" i="36"/>
  <c r="A172" i="36"/>
  <c r="A162" i="36"/>
  <c r="A132" i="36"/>
  <c r="A154" i="36"/>
  <c r="A99" i="36"/>
  <c r="A164" i="36"/>
  <c r="A169" i="36"/>
  <c r="A108" i="36"/>
  <c r="A134" i="36"/>
  <c r="A152" i="36"/>
  <c r="A166" i="36"/>
  <c r="A137" i="36"/>
  <c r="A94" i="36"/>
  <c r="A143" i="36"/>
  <c r="A173" i="36"/>
  <c r="A144" i="36"/>
  <c r="A167" i="36"/>
  <c r="A147" i="36"/>
  <c r="A95" i="36"/>
  <c r="A175" i="36"/>
  <c r="A141" i="36"/>
  <c r="A131" i="36"/>
  <c r="A133" i="36"/>
  <c r="A102" i="36"/>
  <c r="A168" i="36"/>
  <c r="A165" i="36"/>
  <c r="A98" i="36"/>
  <c r="A100" i="36"/>
  <c r="A153" i="36"/>
  <c r="A176" i="36"/>
  <c r="A163" i="36"/>
  <c r="A146" i="36"/>
  <c r="A174" i="36"/>
  <c r="A135" i="36"/>
  <c r="A138" i="36"/>
  <c r="A96" i="36"/>
  <c r="A142" i="36"/>
  <c r="A156" i="36"/>
  <c r="A161" i="36"/>
  <c r="A160" i="36"/>
  <c r="A171" i="36"/>
  <c r="A101" i="36"/>
  <c r="A124" i="36"/>
  <c r="A117" i="36"/>
  <c r="A120" i="36"/>
  <c r="A113" i="36"/>
  <c r="A105" i="36"/>
  <c r="A123" i="36"/>
  <c r="A109" i="36"/>
  <c r="A122" i="36"/>
  <c r="A119" i="36"/>
  <c r="A107" i="36"/>
  <c r="A112" i="36"/>
  <c r="A125" i="36"/>
  <c r="A126" i="36"/>
  <c r="A103" i="36"/>
  <c r="A118" i="36"/>
  <c r="A111" i="36"/>
  <c r="A128" i="36"/>
  <c r="A110" i="36"/>
  <c r="A115" i="36"/>
  <c r="A130" i="36"/>
  <c r="A121" i="36"/>
  <c r="A114" i="36"/>
  <c r="A104" i="36"/>
  <c r="A116" i="36"/>
  <c r="A127" i="36"/>
  <c r="A129" i="36"/>
  <c r="A106" i="36"/>
  <c r="A849" i="36" l="1"/>
  <c r="A848" i="36"/>
  <c r="A850" i="36"/>
  <c r="A93" i="36"/>
  <c r="A89" i="36"/>
  <c r="A92" i="36"/>
  <c r="A91" i="36"/>
  <c r="A90" i="36"/>
  <c r="F35" i="22"/>
  <c r="M117" i="29" l="1"/>
  <c r="AD117" i="29" s="1"/>
  <c r="AD170" i="29" s="1"/>
  <c r="AD116"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Roger Hatch</author>
  </authors>
  <commentList>
    <comment ref="F30" authorId="0" shapeId="0" xr:uid="{00000000-0006-0000-0100-000001000000}">
      <text>
        <r>
          <rPr>
            <sz val="14"/>
            <color indexed="81"/>
            <rFont val="Tahoma"/>
            <family val="2"/>
          </rPr>
          <t>Please report MSBA annual contract revenues here</t>
        </r>
        <r>
          <rPr>
            <b/>
            <sz val="14"/>
            <color indexed="81"/>
            <rFont val="Tahoma"/>
            <family val="2"/>
          </rPr>
          <t xml:space="preserve">
</t>
        </r>
      </text>
    </comment>
    <comment ref="I30" authorId="0" shapeId="0" xr:uid="{00000000-0006-0000-0100-000002000000}">
      <text>
        <r>
          <rPr>
            <sz val="14"/>
            <color indexed="81"/>
            <rFont val="Tahoma"/>
            <family val="2"/>
          </rPr>
          <t>Please report MSBA one-time revenues here</t>
        </r>
      </text>
    </comment>
    <comment ref="I31" authorId="0" shapeId="0" xr:uid="{00000000-0006-0000-0100-000003000000}">
      <text>
        <r>
          <rPr>
            <sz val="14"/>
            <color indexed="81"/>
            <rFont val="Tahoma"/>
            <family val="2"/>
          </rPr>
          <t>Add foster care transportation reimbursement to the amount popopulate in this cell if applicable</t>
        </r>
      </text>
    </comment>
    <comment ref="F464" authorId="0" shapeId="0" xr:uid="{00000000-0006-0000-0100-000004000000}">
      <text>
        <r>
          <rPr>
            <b/>
            <sz val="12"/>
            <color indexed="81"/>
            <rFont val="Arial Narrow"/>
            <family val="2"/>
          </rPr>
          <t>The populated amount for regional districts is the cherry sheet charge for special ed pupils in public settings.  Add this amount to any other school committee special ed tuition to Mass. Schools.</t>
        </r>
      </text>
    </comment>
    <comment ref="F528" authorId="0" shapeId="0" xr:uid="{00000000-0006-0000-0100-000005000000}">
      <text>
        <r>
          <rPr>
            <sz val="12"/>
            <color indexed="81"/>
            <rFont val="Arial Narrow"/>
            <family val="2"/>
          </rPr>
          <t>The populated amount for local districts is the cherry sheet charge for special ed pupils in public settings.  Add this amount to any other municipal special ed tuition to Mass. Schools.</t>
        </r>
      </text>
    </comment>
    <comment ref="F1124" authorId="0" shapeId="0" xr:uid="{00000000-0006-0000-0100-000006000000}">
      <text>
        <r>
          <rPr>
            <sz val="12"/>
            <color indexed="81"/>
            <rFont val="Arial Narrow"/>
            <family val="2"/>
          </rPr>
          <t>For regional districts, the populated amount is the cherry sheet estimate for special ed charges for pupils in public residential settings.  Add this amount to any other school committee special ed tuition in the budget.</t>
        </r>
      </text>
    </comment>
    <comment ref="F1167" authorId="0" shapeId="0" xr:uid="{00000000-0006-0000-0100-000007000000}">
      <text>
        <r>
          <rPr>
            <b/>
            <sz val="12"/>
            <color indexed="81"/>
            <rFont val="Arial Narrow"/>
            <family val="2"/>
          </rPr>
          <t>For local districts, the populated amount is the cherry sheet estimate for special ed charges for pupils in public residential settings.  Add this amount to any other municipal special ed tuition in the budget.</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O'Donnell, Robert F (DOE)</author>
  </authors>
  <commentList>
    <comment ref="I67" authorId="0" shapeId="0" xr:uid="{00000000-0006-0000-0200-000001000000}">
      <text>
        <r>
          <rPr>
            <sz val="10"/>
            <color indexed="81"/>
            <rFont val="Tahoma"/>
            <family val="2"/>
          </rPr>
          <t>Criteria: Change of &gt;$100,000 and &gt;25% between the current year and 1 year prior</t>
        </r>
      </text>
    </comment>
    <comment ref="F263" authorId="0" shapeId="0" xr:uid="{00000000-0006-0000-0200-000002000000}">
      <text>
        <r>
          <rPr>
            <sz val="10"/>
            <color indexed="81"/>
            <rFont val="Tahoma"/>
            <family val="2"/>
          </rPr>
          <t>Refer to the calcmisc worksheet for details</t>
        </r>
        <r>
          <rPr>
            <sz val="9"/>
            <color indexed="81"/>
            <rFont val="Tahoma"/>
            <family val="2"/>
          </rPr>
          <t xml:space="preserve">
</t>
        </r>
      </text>
    </comment>
    <comment ref="F266" authorId="0" shapeId="0" xr:uid="{00000000-0006-0000-0200-000003000000}">
      <text>
        <r>
          <rPr>
            <sz val="10"/>
            <color indexed="81"/>
            <rFont val="Tahoma"/>
            <family val="2"/>
          </rPr>
          <t>Refer to the calcmisc worksheet for details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O'Donnell, Robert F (DOE)</author>
  </authors>
  <commentList>
    <comment ref="Q13" authorId="0" shapeId="0" xr:uid="{00000000-0006-0000-0500-000001000000}">
      <text>
        <r>
          <rPr>
            <sz val="9"/>
            <color indexed="81"/>
            <rFont val="Tahoma"/>
            <family val="2"/>
          </rPr>
          <t>Includes fund codes: 105, 115, 119, 121, 124, 125, 160, 161, 164, 165, 175, 185, 202, 203, 206, 251, 255, 324, 332, 339, 347, 349, 409, 435, 440, 523, 599, 601, 653, 654, 729</t>
        </r>
      </text>
    </comment>
    <comment ref="R13" authorId="0" shapeId="0" xr:uid="{00000000-0006-0000-0500-000002000000}">
      <text>
        <r>
          <rPr>
            <sz val="9"/>
            <color indexed="81"/>
            <rFont val="Tahoma"/>
            <family val="2"/>
          </rPr>
          <t>Includes fund codes: 430 and 525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O'Donnell, Robert F (DOE)</author>
  </authors>
  <commentList>
    <comment ref="J14" authorId="0" shapeId="0" xr:uid="{00000000-0006-0000-0900-000001000000}">
      <text>
        <r>
          <rPr>
            <sz val="9"/>
            <color indexed="81"/>
            <rFont val="Tahoma"/>
            <family val="2"/>
          </rPr>
          <t>Includes fund codes: 105, 115, 119, 121, 124, 125, 160, 161, 164, 165, 175, 185, 202, 203, 206, 251, 255, 324, 332, 339, 347, 349, 409, 435, 440, 523, 599, 601, 653, 654, 729</t>
        </r>
      </text>
    </comment>
    <comment ref="K14" authorId="0" shapeId="0" xr:uid="{00000000-0006-0000-0900-000002000000}">
      <text>
        <r>
          <rPr>
            <sz val="9"/>
            <color indexed="81"/>
            <rFont val="Tahoma"/>
            <family val="2"/>
          </rPr>
          <t>Includes fund codes: 430 and 525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Delmonte, Craig (ESE)</author>
    <author>Hanna, Robert (DESE)</author>
  </authors>
  <commentList>
    <comment ref="E41" authorId="0" shapeId="0" xr:uid="{00000000-0006-0000-0B00-000001000000}">
      <text>
        <r>
          <rPr>
            <b/>
            <u/>
            <sz val="14"/>
            <color indexed="81"/>
            <rFont val="Tahoma"/>
            <family val="2"/>
          </rPr>
          <t>Please report what Grades represent Elementary and Secondary Students</t>
        </r>
      </text>
    </comment>
    <comment ref="I44" authorId="1" shapeId="0" xr:uid="{00000000-0006-0000-0B00-000002000000}">
      <text>
        <r>
          <rPr>
            <b/>
            <sz val="9"/>
            <color indexed="81"/>
            <rFont val="Tahoma"/>
            <family val="2"/>
          </rPr>
          <t>Exclude Regional Assessments from Total Expenditures</t>
        </r>
      </text>
    </comment>
    <comment ref="I47" authorId="0" shapeId="0" xr:uid="{00000000-0006-0000-0B00-000003000000}">
      <text>
        <r>
          <rPr>
            <b/>
            <sz val="9"/>
            <color indexed="81"/>
            <rFont val="Tahoma"/>
            <family val="2"/>
          </rPr>
          <t>*We only ask for fund code 240 on the EOYR.  Any discrepancies might be due to any funds attributed to funds 262.</t>
        </r>
        <r>
          <rPr>
            <sz val="9"/>
            <color indexed="81"/>
            <rFont val="Tahoma"/>
            <family val="2"/>
          </rPr>
          <t xml:space="preserve">
</t>
        </r>
      </text>
    </comment>
    <comment ref="I48" authorId="0" shapeId="0" xr:uid="{00000000-0006-0000-0B00-000004000000}">
      <text>
        <r>
          <rPr>
            <b/>
            <sz val="9"/>
            <color indexed="81"/>
            <rFont val="Tahoma"/>
            <family val="2"/>
          </rPr>
          <t>** We only ask for fund code 305 on the EOYR.  Any discrepancies might be due to any funds attributed to 321, 323, 325, or 539.</t>
        </r>
        <r>
          <rPr>
            <sz val="9"/>
            <color indexed="81"/>
            <rFont val="Tahoma"/>
            <family val="2"/>
          </rPr>
          <t xml:space="preserve">
</t>
        </r>
      </text>
    </comment>
  </commentList>
</comments>
</file>

<file path=xl/sharedStrings.xml><?xml version="1.0" encoding="utf-8"?>
<sst xmlns="http://schemas.openxmlformats.org/spreadsheetml/2006/main" count="8163" uniqueCount="2263">
  <si>
    <t>Please feel free to include comments concerning anything you'd like School Business Services or School Finance to know about.</t>
  </si>
  <si>
    <t>We're especially interested in anything related to your thoughts about this year's file format and any clarifications concerning the data</t>
  </si>
  <si>
    <t>that your district has submitted.</t>
  </si>
  <si>
    <r>
      <t xml:space="preserve">Please indicate your </t>
    </r>
    <r>
      <rPr>
        <b/>
        <sz val="10"/>
        <rFont val="Arial"/>
        <family val="2"/>
      </rPr>
      <t>name</t>
    </r>
    <r>
      <rPr>
        <sz val="10"/>
        <rFont val="Arial"/>
        <family val="2"/>
      </rPr>
      <t xml:space="preserve"> and if you are a </t>
    </r>
    <r>
      <rPr>
        <b/>
        <sz val="10"/>
        <rFont val="Arial"/>
        <family val="2"/>
      </rPr>
      <t>new</t>
    </r>
    <r>
      <rPr>
        <sz val="10"/>
        <rFont val="Arial"/>
        <family val="2"/>
      </rPr>
      <t xml:space="preserve"> School Business Offical</t>
    </r>
  </si>
  <si>
    <t xml:space="preserve">Name: </t>
  </si>
  <si>
    <t>New SBO:</t>
  </si>
  <si>
    <t>If comment is related to edits, provide the edit number(s) here</t>
  </si>
  <si>
    <t>Comment added by:</t>
  </si>
  <si>
    <t>Date</t>
  </si>
  <si>
    <t>Comments</t>
  </si>
  <si>
    <t xml:space="preserve">Copyright 2024 by Massachusetts Department of Elementary and Secondary Education.  Permission is hereby granted to Massachusetts public school officials to </t>
  </si>
  <si>
    <t>to reproduce this document as needed to complete the 2023-2024 End of Year Financial Report.  All other rights reserved.</t>
  </si>
  <si>
    <t>Massachusetts Department of Elementary and Secondary Education</t>
  </si>
  <si>
    <t>FY24 END OF YEAR FINANCIAL REPORT</t>
  </si>
  <si>
    <t>162</t>
  </si>
  <si>
    <t>Lunenburg</t>
  </si>
  <si>
    <t>For all related information go to:</t>
  </si>
  <si>
    <t>http://www.doe.mass.edu/finance/accounting/eoy/?fy=2024</t>
  </si>
  <si>
    <t>SCHEDULE 1</t>
  </si>
  <si>
    <t>1</t>
  </si>
  <si>
    <t>2</t>
  </si>
  <si>
    <t>REVENUE AND EXPENDITURE SUMMARY</t>
  </si>
  <si>
    <t>ADULT ED.</t>
  </si>
  <si>
    <t>CH 74 VOC-</t>
  </si>
  <si>
    <t>AND</t>
  </si>
  <si>
    <t>REGULAR</t>
  </si>
  <si>
    <t>SPECIAL</t>
  </si>
  <si>
    <t>ATIONAL/</t>
  </si>
  <si>
    <t>OTHER</t>
  </si>
  <si>
    <t>UNDISTRIB-</t>
  </si>
  <si>
    <t>I. REVENUES</t>
  </si>
  <si>
    <t>DAY</t>
  </si>
  <si>
    <t>EDUCATION</t>
  </si>
  <si>
    <t>TECHNICAL</t>
  </si>
  <si>
    <t>PROGRAMS</t>
  </si>
  <si>
    <t>UTED</t>
  </si>
  <si>
    <t>TOTAL</t>
  </si>
  <si>
    <t>Row</t>
  </si>
  <si>
    <t>Line</t>
  </si>
  <si>
    <t>A. REVENUE FROM LOCAL SOURCES</t>
  </si>
  <si>
    <t>Assessments Received by Regional Schools</t>
  </si>
  <si>
    <t>E &amp; D Fund Appropriations FY23: Revenues to Regional District</t>
  </si>
  <si>
    <t>Tuition From Individuals</t>
  </si>
  <si>
    <t>Tuition From Other Districts in Comm.</t>
  </si>
  <si>
    <t>Tuition From Districts in Other States</t>
  </si>
  <si>
    <t>Previous Yr Unexpended Encumbrances (Carry Forward)</t>
  </si>
  <si>
    <t>Transportation Fees</t>
  </si>
  <si>
    <t>Earnings on Investments</t>
  </si>
  <si>
    <t>Rental of School Facilities</t>
  </si>
  <si>
    <t>Other Revenue</t>
  </si>
  <si>
    <t>Medical Care and Assistance</t>
  </si>
  <si>
    <t>Non Revenue Receipts</t>
  </si>
  <si>
    <t>TOTAL REVENUE FROM LOCAL SOURCES</t>
  </si>
  <si>
    <t>B. REVENUE FROM STATE AID</t>
  </si>
  <si>
    <t xml:space="preserve">  ------------------------State aid is not reported by program -----------------------</t>
  </si>
  <si>
    <t>School Aid (Chapter 70)</t>
  </si>
  <si>
    <t>Mass. School Building Authority Construction Aid</t>
  </si>
  <si>
    <t>Contract</t>
  </si>
  <si>
    <t>Other</t>
  </si>
  <si>
    <t>Pupil Transportation (Ch. 71,71A,71B,74)</t>
  </si>
  <si>
    <t>Charter Tuition Reimbursements and Facilities Aid</t>
  </si>
  <si>
    <t>Charter Reimb</t>
  </si>
  <si>
    <t>Facilities</t>
  </si>
  <si>
    <t>Circuit Breaker</t>
  </si>
  <si>
    <t>Foundation Reserve, State Impact Aid, and Regional Bonus Aid</t>
  </si>
  <si>
    <t>TOTAL REVENUE FROM STATE AID</t>
  </si>
  <si>
    <t>C. REVENUE FROM FEDERAL GRANTS</t>
  </si>
  <si>
    <t>DESE Administered Grants</t>
  </si>
  <si>
    <t>Other Federal Grants</t>
  </si>
  <si>
    <t>TOTAL REVENUE FEDERAL GRANTS</t>
  </si>
  <si>
    <t xml:space="preserve"> D. REVENUE FROM STATE GRANTS</t>
  </si>
  <si>
    <t>Other State Grants</t>
  </si>
  <si>
    <t>TOTAL REVENUE STATE GRANTS</t>
  </si>
  <si>
    <t>E. REVENUE- REVOLVING &amp; SPECIAL FUNDS</t>
  </si>
  <si>
    <t>School Lunch Receipts</t>
  </si>
  <si>
    <t>Athletic Receipts</t>
  </si>
  <si>
    <t>Tuition Receipts-School Choice</t>
  </si>
  <si>
    <t>Tuition Receipts-Other</t>
  </si>
  <si>
    <t>Other Local Receipts</t>
  </si>
  <si>
    <t>Private Grants</t>
  </si>
  <si>
    <t>TOTAL REVENUE REVOLVING &amp; SPECIAL FUNDS</t>
  </si>
  <si>
    <t>II. EXPENDITURES</t>
  </si>
  <si>
    <t>A.  BY SCHOOL COMMITTEE</t>
  </si>
  <si>
    <t>School Committee (1110)</t>
  </si>
  <si>
    <t>Clerical Salaries (02)</t>
  </si>
  <si>
    <t>Other Salaries (03)</t>
  </si>
  <si>
    <t>Contracted Services (04)</t>
  </si>
  <si>
    <t>Supplies and Materials (05)</t>
  </si>
  <si>
    <t>Other Expenses (06)</t>
  </si>
  <si>
    <t>Sub-total</t>
  </si>
  <si>
    <t>Superintendent (1210)</t>
  </si>
  <si>
    <t>Professional Salaries (01)</t>
  </si>
  <si>
    <t>Assistant Superintendents (1220)</t>
  </si>
  <si>
    <t>Other District-Wide Administration (1230)</t>
  </si>
  <si>
    <t>Business and Finance (1410)</t>
  </si>
  <si>
    <t>Human Resources and Benefits (1420)</t>
  </si>
  <si>
    <t>Legal Service for School Committee (1430)</t>
  </si>
  <si>
    <t>Legal Settlements (1435)</t>
  </si>
  <si>
    <t>Administrative Technology–Districtwide (1450)</t>
  </si>
  <si>
    <t>Curriculum Directors and Department Heads  (Supervisory) (2110)</t>
  </si>
  <si>
    <t xml:space="preserve"> </t>
  </si>
  <si>
    <t>Curriculum Directors and Department Heads (Non-Supervisory) (2120)</t>
  </si>
  <si>
    <t>Instructional Technology Leadership and Training (2130)</t>
  </si>
  <si>
    <t>School Leadership-Building (2210)</t>
  </si>
  <si>
    <t>Administrative Technology and Support – Schools (2250)</t>
  </si>
  <si>
    <t>Teachers (2305)</t>
  </si>
  <si>
    <t>Medical/ Therapeutic Services (2320)</t>
  </si>
  <si>
    <t>*</t>
  </si>
  <si>
    <t>Substitutes, Long Term (2324)</t>
  </si>
  <si>
    <t>Substitutes, Short Term (2325)</t>
  </si>
  <si>
    <t>All Non-Clerical Paraprofessionals/Instructional Assistants (2330)</t>
  </si>
  <si>
    <t>Librarians and Media Center Directors (2340)</t>
  </si>
  <si>
    <t>Distance Learning and Online Coursework (2345) (Including Tuition for Dual Enrollment and SPED Transition Programs)</t>
  </si>
  <si>
    <t>Professional Development Leadership (2351)</t>
  </si>
  <si>
    <t>Instructional Coaches (2352)</t>
  </si>
  <si>
    <t>Stipends for Teachers Providing Instructional Coaching (2354)</t>
  </si>
  <si>
    <t>Costs for Instructional Staff to Attend Professional Development (2356)</t>
  </si>
  <si>
    <t>Outside Professional Development for Instructional Staff (2358)</t>
  </si>
  <si>
    <t>Textbooks (2410)</t>
  </si>
  <si>
    <t>Other Instructional Materials (2415)</t>
  </si>
  <si>
    <t>Instructional Equipment (2420)</t>
  </si>
  <si>
    <t>General Supplies (2430)</t>
  </si>
  <si>
    <t>Other Instructional Services (2440)</t>
  </si>
  <si>
    <t>Instructional Hardware –Student and Staff Devices (computers) (2451)</t>
  </si>
  <si>
    <t>Instructional Hardware—All Other (2453)</t>
  </si>
  <si>
    <t>Instructional Software and Other Instructional Materials (2455)</t>
  </si>
  <si>
    <t>Guidance Including Guidance Counselors and Adjustment Counselors (2710)</t>
  </si>
  <si>
    <t>Testing and Assessment (2720)</t>
  </si>
  <si>
    <t>Psychological Services (2800)</t>
  </si>
  <si>
    <t>Attendance and Parent Liaison Services (3100)</t>
  </si>
  <si>
    <t>Medical/Health Services (3200)</t>
  </si>
  <si>
    <t>Transportation Services (3300)</t>
  </si>
  <si>
    <t>Food Services (3400)</t>
  </si>
  <si>
    <t>Total</t>
  </si>
  <si>
    <t>Athletics (3510)</t>
  </si>
  <si>
    <t>Other Student Activities (3520)</t>
  </si>
  <si>
    <t>School Security (3600)</t>
  </si>
  <si>
    <t>Custodial Services (4110)</t>
  </si>
  <si>
    <t>Heating of Buildings (4120)</t>
  </si>
  <si>
    <t>Utility Services (4130)</t>
  </si>
  <si>
    <t>Maintenance of Grounds (4210)</t>
  </si>
  <si>
    <t>Maintenance of Buildings (4220)</t>
  </si>
  <si>
    <t>Building Security System (4225)</t>
  </si>
  <si>
    <t>Maintenance of Equipment (4230)</t>
  </si>
  <si>
    <t xml:space="preserve">Extraordinary Maintenance (4300) </t>
  </si>
  <si>
    <t>Technology Infrastructure, Maintenance, and Support–Salaries (4400)</t>
  </si>
  <si>
    <t>Technology Infrastructure, Maintenance, and Support—All Other (4450)</t>
  </si>
  <si>
    <t>Employer Retirement Contributions (5100)</t>
  </si>
  <si>
    <t>Employee Separation Costs (5150)</t>
  </si>
  <si>
    <t>Insurance (5200)</t>
  </si>
  <si>
    <t>Insurance for Active Employees (5200)</t>
  </si>
  <si>
    <t>Insurance for Retired School Employees (5250)</t>
  </si>
  <si>
    <t>Other Non Employee Insurance (5260)</t>
  </si>
  <si>
    <t>Rental Lease, Interest &amp; Other Fixed Charges (5300, 5400, 5500, 5550)</t>
  </si>
  <si>
    <t xml:space="preserve">Rental-Lease Equipment (5300)  </t>
  </si>
  <si>
    <t xml:space="preserve">Rental-Lease Buildings (5350)  </t>
  </si>
  <si>
    <t>Short-Term Interest RAN's (5400)</t>
  </si>
  <si>
    <t>Short Term Interest-BAN's (5450)</t>
  </si>
  <si>
    <t>Other Fixed Charges (5500)</t>
  </si>
  <si>
    <t>School Crossing Guards (5550)</t>
  </si>
  <si>
    <t>Civic Activities and Community Services (6200)</t>
  </si>
  <si>
    <t>Recreation (6300)</t>
  </si>
  <si>
    <t>Health Non-Public Schools (6800)</t>
  </si>
  <si>
    <t>Transportation Non-Public (6900)</t>
  </si>
  <si>
    <t xml:space="preserve">Asset Acquisition &amp; Improvement (7000) </t>
  </si>
  <si>
    <t>Purchase of Land &amp; Buildings (7100, 7200)</t>
  </si>
  <si>
    <t>Equipment (7300, 7400)</t>
  </si>
  <si>
    <t>Capital Technology (7350)</t>
  </si>
  <si>
    <t>Motor Vehicles (7500, 7600)</t>
  </si>
  <si>
    <t>Long Term Debt (8000)</t>
  </si>
  <si>
    <t>Debt Retirement/Sch Construction (8100)</t>
  </si>
  <si>
    <t>Debt Service/Sch Construction (8200)</t>
  </si>
  <si>
    <t>Debt Service/Educ. &amp; Other (8400, 8600)</t>
  </si>
  <si>
    <t>Payments to Other Districts (9000)</t>
  </si>
  <si>
    <t>Tuition to Mass. Public Schools (9100)</t>
  </si>
  <si>
    <t>School Choice Tuition (9110)</t>
  </si>
  <si>
    <t>Tuition to Commonwealth Charter Schools (9120)</t>
  </si>
  <si>
    <t>Tuition to Horace Mann Charter Schools (9125)</t>
  </si>
  <si>
    <t>Charter Transportation Tuition (9130)</t>
  </si>
  <si>
    <t>Tuition to Out-of-State Schools (9200)</t>
  </si>
  <si>
    <t>Tuition to Non-Public Schools (9300)</t>
  </si>
  <si>
    <t>Tuition to Collaboratives (9400)</t>
  </si>
  <si>
    <t>TOTAL EXPENDITURES BY SCHOOL COMMITTEE</t>
  </si>
  <si>
    <t>B. BY CITY OR TOWN</t>
  </si>
  <si>
    <t>Legal Services for School Committee (1430)</t>
  </si>
  <si>
    <t>Health Services (3200)</t>
  </si>
  <si>
    <t>Pupil Transportation (3300)</t>
  </si>
  <si>
    <t>School Custodial Services (4110)</t>
  </si>
  <si>
    <t>Heating of School Buildings (4120)</t>
  </si>
  <si>
    <t>School Utility Services (4130)</t>
  </si>
  <si>
    <t>Maintenance of School Grounds (4210)</t>
  </si>
  <si>
    <t>Maintenance of School Buildings (4220)</t>
  </si>
  <si>
    <t>School Building Security System (4225)</t>
  </si>
  <si>
    <t>Maintenance of School Equipment (4230)</t>
  </si>
  <si>
    <t xml:space="preserve">Extraordinary Maintenance (4300)      </t>
  </si>
  <si>
    <t>Insurance For Active Employees (5200)</t>
  </si>
  <si>
    <t>Insurance For Retired School Employees (5250)</t>
  </si>
  <si>
    <t>Other Non-Employee Insurance (5260)</t>
  </si>
  <si>
    <t xml:space="preserve">Rental-Lease  Equipment (5300)     </t>
  </si>
  <si>
    <t xml:space="preserve">Rental-Lease  Buildings (5350)      </t>
  </si>
  <si>
    <t>Short Term Interest - BAN's (5450)</t>
  </si>
  <si>
    <t>Transportation Non-Public Schools (6900)</t>
  </si>
  <si>
    <t>Long-Term Debt Retire/Sch Construction (8100)</t>
  </si>
  <si>
    <t>Long-Term Debt Service/Sch Construction (8200)</t>
  </si>
  <si>
    <t>Long-Term Debt Service/Educ. &amp; Other (8400, 8600)</t>
  </si>
  <si>
    <t>Regional School Assessment (9500)</t>
  </si>
  <si>
    <t>TOTAL EXPENDITURES BY CITY OR TOWN</t>
  </si>
  <si>
    <t>Federal Grants</t>
  </si>
  <si>
    <t>State Grants</t>
  </si>
  <si>
    <t>Revolving and Special Funds</t>
  </si>
  <si>
    <t>C.2. EXPENDITURES FROM FEDERAL</t>
  </si>
  <si>
    <t>Other DESE</t>
  </si>
  <si>
    <t>DESE</t>
  </si>
  <si>
    <t xml:space="preserve">Private </t>
  </si>
  <si>
    <t>Sch Choice</t>
  </si>
  <si>
    <t xml:space="preserve">  Other  </t>
  </si>
  <si>
    <t xml:space="preserve">        GRANTS, STATE GRANTS AND</t>
  </si>
  <si>
    <t>Title I</t>
  </si>
  <si>
    <t>IDEA</t>
  </si>
  <si>
    <t xml:space="preserve">Admin- </t>
  </si>
  <si>
    <t>Circuit</t>
  </si>
  <si>
    <t>Grants &amp;</t>
  </si>
  <si>
    <t>&amp; Other Day</t>
  </si>
  <si>
    <t>Athletic</t>
  </si>
  <si>
    <t>School</t>
  </si>
  <si>
    <t>Local</t>
  </si>
  <si>
    <t xml:space="preserve">        SPECIAL FUNDS</t>
  </si>
  <si>
    <t xml:space="preserve"> FC 305</t>
  </si>
  <si>
    <t>FC 240</t>
  </si>
  <si>
    <t>istered</t>
  </si>
  <si>
    <t>Breaker</t>
  </si>
  <si>
    <t>Gifts</t>
  </si>
  <si>
    <t>Tuition</t>
  </si>
  <si>
    <t>Fund</t>
  </si>
  <si>
    <t>Nutrition</t>
  </si>
  <si>
    <t>Receipts</t>
  </si>
  <si>
    <t>Legal Service For School Committee (1430)</t>
  </si>
  <si>
    <t>Instruction</t>
  </si>
  <si>
    <t>Curriculum Directors and Dept. Heads (Supervisory) (2110)</t>
  </si>
  <si>
    <t>Curriculum Directors and Dept. Heads (Non-Supervisory) (2120)</t>
  </si>
  <si>
    <t>Teachers, Classroom (2305)</t>
  </si>
  <si>
    <t>Medical/Therapeutic Services (2320)</t>
  </si>
  <si>
    <t>Non-Clerical Paraprofs./Instructional Assistants (2330)</t>
  </si>
  <si>
    <t>Costs for Instructional Staff to Attend Prof. Development (2356)</t>
  </si>
  <si>
    <t>Guidance Counselors and Adjustment Counselors (2710)</t>
  </si>
  <si>
    <t>TOTAL INSTRUCTION (2000)</t>
  </si>
  <si>
    <t>Other Student Body Activities (3520)</t>
  </si>
  <si>
    <t>School Security  (3600)</t>
  </si>
  <si>
    <t xml:space="preserve">Extraordinary Maintenance (4300)   </t>
  </si>
  <si>
    <t xml:space="preserve">Rental Lease of Equipment (5300)   </t>
  </si>
  <si>
    <t>Rental Lease  of Buildings (5350)</t>
  </si>
  <si>
    <t>Short Term Interest RAN's (5400)</t>
  </si>
  <si>
    <t>Short Term Interest BAN'S (5450)</t>
  </si>
  <si>
    <t>Indirect Cost Transfers</t>
  </si>
  <si>
    <t>Civic Activities And Community Services (6200)</t>
  </si>
  <si>
    <t>Recreation Services (6300)</t>
  </si>
  <si>
    <t>Health Services to Non-Public Schools (6800)</t>
  </si>
  <si>
    <t>Transportation To Non-Public Schools (6900)</t>
  </si>
  <si>
    <t>TOTAL GRANT &amp; SPECIAL FUND EXPENDITURES</t>
  </si>
  <si>
    <t>SCHEDULE 2</t>
  </si>
  <si>
    <t xml:space="preserve">Please mark </t>
  </si>
  <si>
    <t>FY24 ASSESSMENTS RECEIVED FROM MEMBER</t>
  </si>
  <si>
    <t xml:space="preserve">MEMBER </t>
  </si>
  <si>
    <t>MINIMUM</t>
  </si>
  <si>
    <t>ADDITIONAL</t>
  </si>
  <si>
    <t>TRANSP &amp;</t>
  </si>
  <si>
    <t>CAPITAL &amp;</t>
  </si>
  <si>
    <t>with an "X"</t>
  </si>
  <si>
    <t>TOWNS OR CITIES OF REGIONAL SCHOOL DISTRICTS</t>
  </si>
  <si>
    <t>CITY/TOWN</t>
  </si>
  <si>
    <t>LOCAL CON-</t>
  </si>
  <si>
    <t>OTHER EX-</t>
  </si>
  <si>
    <t>DEBT EX-</t>
  </si>
  <si>
    <t>assessment</t>
  </si>
  <si>
    <t>CODE</t>
  </si>
  <si>
    <t>TRIBUTION</t>
  </si>
  <si>
    <t>PENDITURES</t>
  </si>
  <si>
    <t>method used</t>
  </si>
  <si>
    <t>MEMBER CITY/TOWN NAME</t>
  </si>
  <si>
    <t>for FY24</t>
  </si>
  <si>
    <t>(Check only one)</t>
  </si>
  <si>
    <t xml:space="preserve">statutory  </t>
  </si>
  <si>
    <t>alternative</t>
  </si>
  <si>
    <t>Difference</t>
  </si>
  <si>
    <t>Sched 1</t>
  </si>
  <si>
    <t>TOTAL ASSESSMENTS RECEIVED FROM MEMBERS</t>
  </si>
  <si>
    <t>SCHEDULE 3</t>
  </si>
  <si>
    <t>INSTRUCTIONAL EXPENDITURES</t>
  </si>
  <si>
    <t>APPRO-</t>
  </si>
  <si>
    <t>I.  GENERAL FUND</t>
  </si>
  <si>
    <t>PRIATION</t>
  </si>
  <si>
    <t>Curriculum Directors and Department Heads  (Non-Supervisory) (2120)</t>
  </si>
  <si>
    <t>Outside Professional Development Providers for Instructional Staff (2358)</t>
  </si>
  <si>
    <t>Guidance including Guidance Counselors and Adjustment Counselors (2710)</t>
  </si>
  <si>
    <t>TOTAL INSTRUCTIONAL SERVICES (2000)</t>
  </si>
  <si>
    <t xml:space="preserve">     Revolving and Special Funds</t>
  </si>
  <si>
    <t xml:space="preserve">Other  </t>
  </si>
  <si>
    <t>Fund Code</t>
  </si>
  <si>
    <t>Admin-</t>
  </si>
  <si>
    <t>II GRANTS AND OTHER FUNDING SOURCES</t>
  </si>
  <si>
    <t>Paul</t>
  </si>
  <si>
    <t/>
  </si>
  <si>
    <t>3656</t>
  </si>
  <si>
    <t>3657</t>
  </si>
  <si>
    <t>SCHEDULE 4</t>
  </si>
  <si>
    <t>3</t>
  </si>
  <si>
    <t xml:space="preserve">SPECIAL EDUCATION EXPENDITURES </t>
  </si>
  <si>
    <t>3-5 Yr. Olds</t>
  </si>
  <si>
    <t>Age 6-21</t>
  </si>
  <si>
    <t>BY PLACEMENT</t>
  </si>
  <si>
    <t>all</t>
  </si>
  <si>
    <t>Public School</t>
  </si>
  <si>
    <t>Public</t>
  </si>
  <si>
    <t>Private</t>
  </si>
  <si>
    <t>placements</t>
  </si>
  <si>
    <t>Programs</t>
  </si>
  <si>
    <t>Separate</t>
  </si>
  <si>
    <t>Residential</t>
  </si>
  <si>
    <t>Homebound/</t>
  </si>
  <si>
    <t xml:space="preserve">Screening </t>
  </si>
  <si>
    <t>EXPENDITURES BY SCHOOL COMMITTEE,</t>
  </si>
  <si>
    <t>(doe032--</t>
  </si>
  <si>
    <t>(doe034-10,</t>
  </si>
  <si>
    <t>Day School</t>
  </si>
  <si>
    <t>Hospital</t>
  </si>
  <si>
    <t>Institution</t>
  </si>
  <si>
    <t>and Team</t>
  </si>
  <si>
    <t>CITY OR TOWN, AND CIRCUIT BREAKER</t>
  </si>
  <si>
    <t>30 - 48)</t>
  </si>
  <si>
    <t>20, &amp; 40)</t>
  </si>
  <si>
    <t>(doe034-41)</t>
  </si>
  <si>
    <t>(doe034-50)</t>
  </si>
  <si>
    <t>(doe034-60)</t>
  </si>
  <si>
    <t>(doe034-70)</t>
  </si>
  <si>
    <t>(doe034-90)</t>
  </si>
  <si>
    <t>Evaluation</t>
  </si>
  <si>
    <t>Instructional Services(2000)</t>
  </si>
  <si>
    <t>3810</t>
  </si>
  <si>
    <t>Supervisory (2100)</t>
  </si>
  <si>
    <t>School Building Leadership (2200)</t>
  </si>
  <si>
    <t>3820</t>
  </si>
  <si>
    <t>Teaching (2300)</t>
  </si>
  <si>
    <t>3830</t>
  </si>
  <si>
    <t>Textbooks &amp; Instructional Equipment (2400)</t>
  </si>
  <si>
    <t>3840</t>
  </si>
  <si>
    <t>Guidance (2700)</t>
  </si>
  <si>
    <t>3850</t>
  </si>
  <si>
    <t>Psychological (2800)</t>
  </si>
  <si>
    <t>3860</t>
  </si>
  <si>
    <t>TOTAL INSTRUCTIONAL SERVICES</t>
  </si>
  <si>
    <t>3870</t>
  </si>
  <si>
    <t>Non-Public Health Services (6800)</t>
  </si>
  <si>
    <t>3880</t>
  </si>
  <si>
    <t xml:space="preserve">School Choice Tuition (9110) </t>
  </si>
  <si>
    <t xml:space="preserve">Tuition to Commonwealth Charter Schools (9120) </t>
  </si>
  <si>
    <t>Tuition to Horace Mann Charter Schools (9120)</t>
  </si>
  <si>
    <t>3890</t>
  </si>
  <si>
    <t>3900</t>
  </si>
  <si>
    <t>Tuition to Private Schools (9300)</t>
  </si>
  <si>
    <t>3910</t>
  </si>
  <si>
    <t>3920</t>
  </si>
  <si>
    <t>TOTAL TUITION</t>
  </si>
  <si>
    <t>3930</t>
  </si>
  <si>
    <t>EXP FROM GRANTS, REVOLVING FUNDS (NOT CB) (2000, 6800, and 9000 only)</t>
  </si>
  <si>
    <t>3950</t>
  </si>
  <si>
    <t xml:space="preserve">TOTAL EXPENDITURES </t>
  </si>
  <si>
    <t>SCHEDULE 7</t>
  </si>
  <si>
    <t>EXPENDITURES (Report Whole Dollars)</t>
  </si>
  <si>
    <t>RIDERS</t>
  </si>
  <si>
    <t>4</t>
  </si>
  <si>
    <t>5</t>
  </si>
  <si>
    <t>6</t>
  </si>
  <si>
    <t>7</t>
  </si>
  <si>
    <t>8</t>
  </si>
  <si>
    <t>9</t>
  </si>
  <si>
    <t>PUPIL TRANSPORTATION REIMBURSEMENT</t>
  </si>
  <si>
    <t xml:space="preserve">          REIMBURSABLE</t>
  </si>
  <si>
    <t>NON-REIM-  BURSABLE</t>
  </si>
  <si>
    <t xml:space="preserve">           REIMBURSABLE</t>
  </si>
  <si>
    <t>FUNCTIONS 3300, 6900</t>
  </si>
  <si>
    <t xml:space="preserve">      EXPENDITURES FOR PUPILS</t>
  </si>
  <si>
    <t>EXPENDITURES</t>
  </si>
  <si>
    <t xml:space="preserve">         REGULAR DAY RIDERS</t>
  </si>
  <si>
    <t>REGULAR DAY</t>
  </si>
  <si>
    <t xml:space="preserve">   TRANSPORTED AT LEAST 1 1/2</t>
  </si>
  <si>
    <t xml:space="preserve">FOR PUPILS </t>
  </si>
  <si>
    <t>DEPRE-</t>
  </si>
  <si>
    <t>RIDERS TRANS-</t>
  </si>
  <si>
    <t xml:space="preserve">    MILES TO AND FROM SCHOOL</t>
  </si>
  <si>
    <t>TRANSPORTED</t>
  </si>
  <si>
    <t>CIATION</t>
  </si>
  <si>
    <t>PORTED LESS</t>
  </si>
  <si>
    <t>SCHOOL TRANS</t>
  </si>
  <si>
    <t>BY PUBLIC</t>
  </si>
  <si>
    <t>LESS THAN 1 1/2</t>
  </si>
  <si>
    <t xml:space="preserve">(See  </t>
  </si>
  <si>
    <t xml:space="preserve"> (Sum of</t>
  </si>
  <si>
    <t>THAN 1 1/2 MILES</t>
  </si>
  <si>
    <t>VEHICLE</t>
  </si>
  <si>
    <t>UTILITIES</t>
  </si>
  <si>
    <t>MILES FROM SCH</t>
  </si>
  <si>
    <t xml:space="preserve"> instructions)</t>
  </si>
  <si>
    <t xml:space="preserve">  1 thru 4)</t>
  </si>
  <si>
    <t>FROM SCHOOL</t>
  </si>
  <si>
    <t xml:space="preserve">  6 thru 8)</t>
  </si>
  <si>
    <t>REGULAR EDUCATION</t>
  </si>
  <si>
    <t>4000</t>
  </si>
  <si>
    <t>Within the District</t>
  </si>
  <si>
    <t>4010</t>
  </si>
  <si>
    <t>Outside the District</t>
  </si>
  <si>
    <t>4020</t>
  </si>
  <si>
    <t>To and from Regular Pre-School</t>
  </si>
  <si>
    <t>4040</t>
  </si>
  <si>
    <t>TOTAL REGULAR EDUCATION</t>
  </si>
  <si>
    <t>SPECIAL EDUCATION</t>
  </si>
  <si>
    <t>EXPENDITURES FOR SPECIAL EDUCATION PUPILS TRANSPORTED WITHIN THE DISTRICT</t>
  </si>
  <si>
    <t>EXPENDITURES FOR SPECIAL EDUCATION PUPILS TRANSPORTED OUTSIDE THE DISTRICT</t>
  </si>
  <si>
    <t>DEPRECIATION (See instructions)</t>
  </si>
  <si>
    <t>TOTAL EXPENDITURES (Sum of columns 1 thru 4)</t>
  </si>
  <si>
    <t>SPECIAL EDUCATION RIDERS TRANSPORTED WITHIN THE DISTRICT</t>
  </si>
  <si>
    <t>SPECIAL EDUCATION RIDERS TRANSPORTED OUTSIDE THE DISTRICT</t>
  </si>
  <si>
    <t>TOTAL SPECIAL EDUCATION RIDERS (Sum of cols 6 and 7)</t>
  </si>
  <si>
    <t>4070</t>
  </si>
  <si>
    <t>3-5 yr olds, all placements (doe032)</t>
  </si>
  <si>
    <t>4080</t>
  </si>
  <si>
    <t>age 6-21, public school programs (doe034-10, 20, &amp; 40)</t>
  </si>
  <si>
    <t>4110</t>
  </si>
  <si>
    <t>age 6-21, public separate day school (doe034-41)</t>
  </si>
  <si>
    <t>age 6-21, ages, private separate day school (doe034-50)</t>
  </si>
  <si>
    <t>age 6-21, private residential school (doe034-60)</t>
  </si>
  <si>
    <t>age 6-21, homebound/hospital (doe034-70)</t>
  </si>
  <si>
    <t>age 6-21, public residential institutions (doe034-90)</t>
  </si>
  <si>
    <t xml:space="preserve">  TOTAL SPECIAL EDUCATION</t>
  </si>
  <si>
    <t xml:space="preserve">             REIMBURSABLE</t>
  </si>
  <si>
    <t>NON-REIM-    BURSABLE</t>
  </si>
  <si>
    <t xml:space="preserve"> EXPENDITURES FOR VOCATIONAL</t>
  </si>
  <si>
    <t xml:space="preserve">         VOCATIONAL RIDERS</t>
  </si>
  <si>
    <t xml:space="preserve"> VOCATIONAL</t>
  </si>
  <si>
    <t xml:space="preserve"> PUPILS TRANSPORTED AT LEAST</t>
  </si>
  <si>
    <t xml:space="preserve">FOR VOCATIONAL </t>
  </si>
  <si>
    <t xml:space="preserve">    TRANSPORTED AT LEAST 1 1/2</t>
  </si>
  <si>
    <t xml:space="preserve">   1 1/2 MILES TO &amp; FROM SCHOOL</t>
  </si>
  <si>
    <t>PUPILS TRANS-</t>
  </si>
  <si>
    <t xml:space="preserve">     MILES TO AND FROM SCHOOL</t>
  </si>
  <si>
    <t xml:space="preserve">PORTED &lt; 1.5 </t>
  </si>
  <si>
    <t>CH 74 VOCATIONAL/TECHNICAL PROGRAMS</t>
  </si>
  <si>
    <t>4190</t>
  </si>
  <si>
    <t>4200</t>
  </si>
  <si>
    <t xml:space="preserve">            REIMBURSABLE</t>
  </si>
  <si>
    <t xml:space="preserve">   EXPENDITURES FOR NON-PUBLIC</t>
  </si>
  <si>
    <t xml:space="preserve">          NON-PUBLIC RIDERS</t>
  </si>
  <si>
    <t xml:space="preserve"> NON-PUBLIC</t>
  </si>
  <si>
    <t>FOR NON-PUBLIC</t>
  </si>
  <si>
    <t xml:space="preserve">  1 1/2 MILES TO &amp; FROM SCHOOL</t>
  </si>
  <si>
    <t>PORTED &lt; 1 1/2</t>
  </si>
  <si>
    <t>NON-PUBLIC TRANSPORTATION</t>
  </si>
  <si>
    <t>MILES FRM SCH</t>
  </si>
  <si>
    <t>4220</t>
  </si>
  <si>
    <t>4230</t>
  </si>
  <si>
    <t>SCHEDULE 7 (CONTINUED)</t>
  </si>
  <si>
    <t xml:space="preserve">           EXPENDITURES FOR </t>
  </si>
  <si>
    <t xml:space="preserve">        RIDERS TRANSPORTED</t>
  </si>
  <si>
    <t>PUPILS TRANSPORTED AT LEAST</t>
  </si>
  <si>
    <t xml:space="preserve">   FOR PUPILS </t>
  </si>
  <si>
    <t xml:space="preserve">         AT LEAST 1 1/2 MILES</t>
  </si>
  <si>
    <t>1 1/2 MILES TO &amp; FROM SCHOOL</t>
  </si>
  <si>
    <t xml:space="preserve">       TO AND FROM SCHOOL</t>
  </si>
  <si>
    <t>OTHER PROGRAMS</t>
  </si>
  <si>
    <t>4250</t>
  </si>
  <si>
    <t>Racial Imbalance (NOT METCO)</t>
  </si>
  <si>
    <t>4260</t>
  </si>
  <si>
    <t>To and From Day Care Centers</t>
  </si>
  <si>
    <t>4270</t>
  </si>
  <si>
    <t>Other School Programs</t>
  </si>
  <si>
    <t>4280</t>
  </si>
  <si>
    <t>School Choice / Commonwealth Charter Schools</t>
  </si>
  <si>
    <t>4283</t>
  </si>
  <si>
    <t>Homeless Transportation To Outside the District</t>
  </si>
  <si>
    <t>4285</t>
  </si>
  <si>
    <t>Homeless Transportation From Outside the District</t>
  </si>
  <si>
    <t>4286</t>
  </si>
  <si>
    <t>Foster Care Transportation from Outside the District</t>
  </si>
  <si>
    <t>4290</t>
  </si>
  <si>
    <t>TOTALS FOR ALL PROGRAMS</t>
  </si>
  <si>
    <t>PUBLIC TRANSPORTATION AND PAYMENTS FROM REVOLVING/SPECIAL</t>
  </si>
  <si>
    <t>EXPENDTURES</t>
  </si>
  <si>
    <t>4310</t>
  </si>
  <si>
    <t>PUBLIC TRANSPORTATION ASSESSMENT</t>
  </si>
  <si>
    <t>PAYMENTS FROM REVOLVING AND SPECIAL FUNDS</t>
  </si>
  <si>
    <t>SCHEDULE 19</t>
  </si>
  <si>
    <t>ANNUAL SCHOOL BUDGET</t>
  </si>
  <si>
    <t>2024 - 2025</t>
  </si>
  <si>
    <t>A.1   APPROPRIATION BY SCHOOL COMMITTEE</t>
  </si>
  <si>
    <t>Administration(1000)</t>
  </si>
  <si>
    <t>Instruction (2000)</t>
  </si>
  <si>
    <t>Student Services (3100,3200)</t>
  </si>
  <si>
    <t>Food Service (3400)</t>
  </si>
  <si>
    <t>Student Body Activities (3510,3520)</t>
  </si>
  <si>
    <t>Operations and Maintenance (4000)</t>
  </si>
  <si>
    <t xml:space="preserve">Extraordinary Maintenance (4300)    </t>
  </si>
  <si>
    <t>Insurance Retired School Employees (5250)</t>
  </si>
  <si>
    <t>Rent (5300)</t>
  </si>
  <si>
    <t>Debt Service-Short Term Interest RAN's (5400)</t>
  </si>
  <si>
    <t>Debt Service-Short Term Interest-BANS (5450)</t>
  </si>
  <si>
    <t>Other Community Services (6000)</t>
  </si>
  <si>
    <t>Non-Public Transportation (6900)</t>
  </si>
  <si>
    <t>Fixed Assets (7000)</t>
  </si>
  <si>
    <t>Long-Term Debt Retirement/Sch Construction (8100)</t>
  </si>
  <si>
    <t>TOTAL APPROPRIATION BY SCHOOL COMMITTEE</t>
  </si>
  <si>
    <t>Did your district use the per pupil administrative cost average</t>
  </si>
  <si>
    <t>in determining the amount on line 7400 General Admin-</t>
  </si>
  <si>
    <t>A.2    ESTIMATED EXPENDITURES BY CITY/TOWN</t>
  </si>
  <si>
    <t>istrative Servces?  Please insert an "X" in either Yes or No.</t>
  </si>
  <si>
    <t>General Administrative Services (1000)</t>
  </si>
  <si>
    <t>Educational Media (2340, 2415)</t>
  </si>
  <si>
    <t xml:space="preserve">  YES</t>
  </si>
  <si>
    <t>x</t>
  </si>
  <si>
    <t>NO</t>
  </si>
  <si>
    <t>Pupil Support Services (3100,3200)</t>
  </si>
  <si>
    <t xml:space="preserve">Rent (5300)  </t>
  </si>
  <si>
    <t>Long-Term Debt Service/Educ. &amp;Other (8400, 8600)</t>
  </si>
  <si>
    <t>Regional School Assessments (9500)</t>
  </si>
  <si>
    <t>TOTAL EXPENDITURES BY CITY/TOWN</t>
  </si>
  <si>
    <t>TOTAL ESTIMATED EXPENDITURES</t>
  </si>
  <si>
    <t>AND OTHER</t>
  </si>
  <si>
    <t>B.  ESTIMATED REVENUES-GENERAL FUND</t>
  </si>
  <si>
    <t xml:space="preserve">      REVENUES FROM LOCAL SOURCES FY25</t>
  </si>
  <si>
    <t>Excess &amp; Deficiency Fund Approp</t>
  </si>
  <si>
    <t>.</t>
  </si>
  <si>
    <t>Other General Fund Revenue</t>
  </si>
  <si>
    <t>ASSESSMENT</t>
  </si>
  <si>
    <t>BUDGETED</t>
  </si>
  <si>
    <t>C. 2024 - 2025 REGIONAL SCHOOL DISTRICTS</t>
  </si>
  <si>
    <t>APPROVED</t>
  </si>
  <si>
    <t>EXCESS</t>
  </si>
  <si>
    <t xml:space="preserve">     APPROVED BUDGETS</t>
  </si>
  <si>
    <t>OTHER EXP-</t>
  </si>
  <si>
    <t>DEBT EXP-</t>
  </si>
  <si>
    <t>BY MEMBER</t>
  </si>
  <si>
    <t>ENDITURES</t>
  </si>
  <si>
    <t>TOWNS</t>
  </si>
  <si>
    <t>DEFICIENCY</t>
  </si>
  <si>
    <t>for FY25</t>
  </si>
  <si>
    <t>MEMBER CITY/TOWN CODE AND NAME</t>
  </si>
  <si>
    <t>EXPENDITURE SUMMARY FY24</t>
  </si>
  <si>
    <t>ALL FUND TYPES</t>
  </si>
  <si>
    <t>SCH COMM</t>
  </si>
  <si>
    <t>PRIVATE</t>
  </si>
  <si>
    <t>SCH CHOICE</t>
  </si>
  <si>
    <t>APPROP-</t>
  </si>
  <si>
    <t>FEDERAL</t>
  </si>
  <si>
    <t>STATE</t>
  </si>
  <si>
    <t>CIRCUIT</t>
  </si>
  <si>
    <t>GRANTS</t>
  </si>
  <si>
    <t>&amp; OTHER</t>
  </si>
  <si>
    <t>ATHLETIC</t>
  </si>
  <si>
    <t>SCHOOL</t>
  </si>
  <si>
    <t>LOCAL</t>
  </si>
  <si>
    <t>RIATIONS</t>
  </si>
  <si>
    <t>BREAKER</t>
  </si>
  <si>
    <t>&amp; GIFTS</t>
  </si>
  <si>
    <t>TUITION</t>
  </si>
  <si>
    <t>FUND</t>
  </si>
  <si>
    <t>NUTRITION</t>
  </si>
  <si>
    <t>RECEIPTS</t>
  </si>
  <si>
    <t>Stipends for Instructional Coaching (2354)</t>
  </si>
  <si>
    <t>Costs for Instructional Staff to Attend Prof. Dev. (2356)</t>
  </si>
  <si>
    <t>Outside Prof. Dev. Providers for Instructional Staff (2358)</t>
  </si>
  <si>
    <t>Tuition to Mass. Schools (9100)</t>
  </si>
  <si>
    <t>TOTAL EXPENDITURES, ALL FUNDS</t>
  </si>
  <si>
    <t>FY24 Net School Spending</t>
  </si>
  <si>
    <t>City or</t>
  </si>
  <si>
    <t>Was Retired Employee Health Insurance</t>
  </si>
  <si>
    <t>Committee</t>
  </si>
  <si>
    <t>Town</t>
  </si>
  <si>
    <t>Included in Schedule 19</t>
  </si>
  <si>
    <t xml:space="preserve"> 1. Administration (1000)</t>
  </si>
  <si>
    <t>&lt;FY24 Budget</t>
  </si>
  <si>
    <t>of the FY93 End-of-Year Report?</t>
  </si>
  <si>
    <t xml:space="preserve"> 2. Instruction (2000)</t>
  </si>
  <si>
    <t xml:space="preserve"> 3. Attendance-Health (3100, 3200)</t>
  </si>
  <si>
    <t xml:space="preserve">          YES-------------</t>
  </si>
  <si>
    <t>X</t>
  </si>
  <si>
    <t xml:space="preserve"> 4. Food Services (3400)</t>
  </si>
  <si>
    <t xml:space="preserve">           NO --------------</t>
  </si>
  <si>
    <t xml:space="preserve"> 5. Athletics/Student Activities/ Security (3500,3600)</t>
  </si>
  <si>
    <t xml:space="preserve"> 6. Maintenance (4000)</t>
  </si>
  <si>
    <t xml:space="preserve"> 7. Employee Benefits (5100)</t>
  </si>
  <si>
    <t>Carryforward</t>
  </si>
  <si>
    <t xml:space="preserve"> 8. Insurance (5200)</t>
  </si>
  <si>
    <t>Total Required NSS FY23</t>
  </si>
  <si>
    <t xml:space="preserve"> 9. Retired Employee Insurance (5250)</t>
  </si>
  <si>
    <t xml:space="preserve"> Actual NSS FY23</t>
  </si>
  <si>
    <t>10. Rentals (5300)</t>
  </si>
  <si>
    <t>Amt Over/Under</t>
  </si>
  <si>
    <t>11. Short Term Interest RAN's (5400)</t>
  </si>
  <si>
    <t>New Amount Over/Under</t>
  </si>
  <si>
    <t>12. Tuition (9000)</t>
  </si>
  <si>
    <t>Allowable Carryforward</t>
  </si>
  <si>
    <t>13. Total School Spending (1 through 12)</t>
  </si>
  <si>
    <t>SC Revenues Budgeted for FY24</t>
  </si>
  <si>
    <t>14. School Revenues</t>
  </si>
  <si>
    <t xml:space="preserve">       14a) FY24 School Revenues</t>
  </si>
  <si>
    <t xml:space="preserve">       14b) FY24 Charter Reimbursement</t>
  </si>
  <si>
    <t xml:space="preserve">       14c) Subtotal, School Revenues (14a+14b)</t>
  </si>
  <si>
    <t>15. Net School Spending (13 - 14c)</t>
  </si>
  <si>
    <t>16. FY24 Required Net School Spending</t>
  </si>
  <si>
    <t>17. FY23 Carry-Over Into FY24</t>
  </si>
  <si>
    <t>18. Total FY24 Requirement (16 + 17)</t>
  </si>
  <si>
    <t>19. Unexpended Net School Spending (18 - 15)</t>
  </si>
  <si>
    <t>20. Percent Unexpended (19 / 16)</t>
  </si>
  <si>
    <t>21. FY24 Carry-Over (19 or 5% of 16 if 20 &gt; 5%)</t>
  </si>
  <si>
    <t>22. Penalty (19 - 21)</t>
  </si>
  <si>
    <t>FY25 Budgeted Net School Spending</t>
  </si>
  <si>
    <t>23. Administration (1000)</t>
  </si>
  <si>
    <t>24. Instruction (2000)</t>
  </si>
  <si>
    <t>25. Attendance-Health (3100, 3200)</t>
  </si>
  <si>
    <t>26. Food Services (3400)</t>
  </si>
  <si>
    <t>27. Athletics/Student Activities/ Security (3500,3600)</t>
  </si>
  <si>
    <t>28. Maintenance (4000)</t>
  </si>
  <si>
    <t>29. Employee Benefits (5100)</t>
  </si>
  <si>
    <t>30. Insurance (5200)</t>
  </si>
  <si>
    <t>31. Retired Employee Insurance (5250)</t>
  </si>
  <si>
    <t>32. Rentals (5300)</t>
  </si>
  <si>
    <t>33. Short Term Interest RAN's (5400)</t>
  </si>
  <si>
    <t>34. Tuition (9000)</t>
  </si>
  <si>
    <t>35. Total School Spending (23 through 34)</t>
  </si>
  <si>
    <t>36. Revenues</t>
  </si>
  <si>
    <t xml:space="preserve">     36a) FY25 Budgeted School Revenues</t>
  </si>
  <si>
    <t xml:space="preserve">     36b) Projected FY25 Charter Reimbursement (Local Districts)</t>
  </si>
  <si>
    <t xml:space="preserve">     36c) Subtotal, Net School Spending Revenues (36a+36b)</t>
  </si>
  <si>
    <t>37. Net School Spending (35 - 36)</t>
  </si>
  <si>
    <t>38. FY25 Required Net School Spending</t>
  </si>
  <si>
    <t>39. Carry-Over into FY25 (21)</t>
  </si>
  <si>
    <t>40. Total FY25 Requirement (38 + 39)</t>
  </si>
  <si>
    <t>41. Deficiency (40 - 37)</t>
  </si>
  <si>
    <t>Comparison of Selected Data Items Reported in FY22 through FY24</t>
  </si>
  <si>
    <t>Please provide comments to clarify any year-over-year differences that are flagged for review but are OK</t>
  </si>
  <si>
    <t>Schedule 1 A - Revenues</t>
  </si>
  <si>
    <t>FY22</t>
  </si>
  <si>
    <t>FY23</t>
  </si>
  <si>
    <t>FY24</t>
  </si>
  <si>
    <t>Change
FY23-FY24</t>
  </si>
  <si>
    <t>Please review and correct any reporting
errors</t>
  </si>
  <si>
    <t>Select OK if the reported data is correct</t>
  </si>
  <si>
    <t>Comment for flagged item</t>
  </si>
  <si>
    <t>Total Revenue From Local Sources (line 110, col 6)</t>
  </si>
  <si>
    <t>OK</t>
  </si>
  <si>
    <t>Schedule 1 - IIA School Committee Expenditures</t>
  </si>
  <si>
    <t>School Committee (1110) (line 709, col 6)</t>
  </si>
  <si>
    <t>Superintendent (1210) (line 729, col 6)</t>
  </si>
  <si>
    <t>Assistant Superintendents (1220) (line 749, col 6)</t>
  </si>
  <si>
    <t>Other District-Wide Administration (1230) (line 769, col 6)</t>
  </si>
  <si>
    <t>Business and Finance (1410) (line 789, col 6)</t>
  </si>
  <si>
    <t>Contracted SBM Mentoring Asst. Supt. Finance</t>
  </si>
  <si>
    <t>Human Resources and Benefits (1420) (line 809, col 6)</t>
  </si>
  <si>
    <t>Legal Service for School Committee (1430) (line 829, col 6)</t>
  </si>
  <si>
    <t>Legal Settlements (1435) (line 849, col 6)</t>
  </si>
  <si>
    <t>Administrative Technology-Districtwide (1450) (line 869, col 6)</t>
  </si>
  <si>
    <t>Attendance and Parent Liaison Services (3100) (line 1429, col 6)</t>
  </si>
  <si>
    <t>Medical/Health Services (3200) (line 1449, col 6)</t>
  </si>
  <si>
    <t>Transportation Services (3300) (line 1469, col 6)</t>
  </si>
  <si>
    <t>Food Services (3400) (line 1489, col 6)</t>
  </si>
  <si>
    <t>Athletics (3510) (line 1509, col 6)</t>
  </si>
  <si>
    <t>Other Student Activities (3520) (line 1529, col 6)</t>
  </si>
  <si>
    <t>Extraordinary Maintenance (4300) (line 1639, col 6)</t>
  </si>
  <si>
    <t>Employer Retirement Contributions (5100) (line 1661, col 6)</t>
  </si>
  <si>
    <t>Employee Separation Costs (5150) (line 1669, col 6)</t>
  </si>
  <si>
    <t>Insurance for Active Employees (5200) (line 1672, col 6)</t>
  </si>
  <si>
    <t>Insurance for Retired School Employees (5250) (line 1673, col 6)</t>
  </si>
  <si>
    <t>Other Non-Employee Insurance (5260) (line 1674, col 6)</t>
  </si>
  <si>
    <t>Rental/Lease Equipment (5300) (line 1681, col 6)</t>
  </si>
  <si>
    <t>Rental/Lease Buildings (5350) (line 1682, col 6)</t>
  </si>
  <si>
    <t>Short-Term Interest RAN's (5400) (line 1683, col 6)</t>
  </si>
  <si>
    <t>Short Term Interest-BAN's (5450) (line 1684, col 6)</t>
  </si>
  <si>
    <t>Other Fixed Charges (5500) (line 1685, col 6)</t>
  </si>
  <si>
    <t>Purchase of Land and Buildings (7100, 7200) (line 1741, col 6)</t>
  </si>
  <si>
    <t>Debt Retirement/Sch Construction (8100) (line 1751, col 6)</t>
  </si>
  <si>
    <t>Debt Service/Sch Construction (8200) (line 1752, col 6)</t>
  </si>
  <si>
    <t>Debt Service/Educ. &amp; Other (8400, 8600) (line 1753, col 6)</t>
  </si>
  <si>
    <t>Tuition to Mass. Public Schools (9100) (line 1770, col 6)</t>
  </si>
  <si>
    <t>School Choice Tuition (9110) (line 1780, col 6)</t>
  </si>
  <si>
    <t>Tuition to Commonwealth Charter Schools (9120) (line 1790, col 6)</t>
  </si>
  <si>
    <t>Tuition to Horace Mann Charter Schools (9125) (line 1795, col 6)</t>
  </si>
  <si>
    <t xml:space="preserve">Charter Transportation Tuition (9130) (line 1796, col 6) </t>
  </si>
  <si>
    <t>Tuition to Out-of-State Schools (9200) (line 1800, col 6)</t>
  </si>
  <si>
    <t>Tuition to Non-Public Schools (9300) (line 1810, col 6)</t>
  </si>
  <si>
    <t>Tuition to Collaboratives (9400) (line 1820, col 6)</t>
  </si>
  <si>
    <t>Total School Committee Expenditures (line 1850, col 6)</t>
  </si>
  <si>
    <t>Comparison of Selected Data Items Reported in FY22 through FY24 (continued)</t>
  </si>
  <si>
    <t>Schedule 1 - IIB  City and Town Expenditures</t>
  </si>
  <si>
    <t>Extraordinary Maintenance (4300) (line 1990, col 6)</t>
  </si>
  <si>
    <t>Employer Retirement Contributions (5100) (line 2000, col 6)</t>
  </si>
  <si>
    <t>As reported by Town</t>
  </si>
  <si>
    <t>Employee Separation Costs (5150) (line 2007, col 6)</t>
  </si>
  <si>
    <t>Insurance for Active Employees (5200) (line 2010, col 6)</t>
  </si>
  <si>
    <t>Insurance for Retired School Employees (5250) (line 2020, col 6)</t>
  </si>
  <si>
    <t>Other Non-Employee Insurance (5260) (line 2030, col 6)</t>
  </si>
  <si>
    <t>Short-Term Interest RAN's (5400) (line 2060, col 6)</t>
  </si>
  <si>
    <t>Short-Term Interest - BAN's (5450) (line 2065, col 6)</t>
  </si>
  <si>
    <t>Other Fixed Charges (5500) (line 2070, col 6)</t>
  </si>
  <si>
    <t>Purchase of Land and Buildings (7100, 7200) (line 2100, col 6)</t>
  </si>
  <si>
    <t>Long-Term Debt Retirement/Sch Construction (8100) (line 2130, col 6)</t>
  </si>
  <si>
    <t>Long-Term Debt Service/Sch Construction (8200) (line 2140, col 6)</t>
  </si>
  <si>
    <t>Long-Term Debt Service/Educ. &amp; Other (8400, 8600) (line 2200, col 6)</t>
  </si>
  <si>
    <t>Tuition to Mass. Public Schools (9100) (line 2210, col 6)</t>
  </si>
  <si>
    <t>School Choice Tuition (9110) (line 2220, col 6)</t>
  </si>
  <si>
    <t>Tuition to Commonwealth Charter Schools (9120) (line 2230, col 6)</t>
  </si>
  <si>
    <t>Tuition to Horace Mann Charter Schools (9125) (line 2235, col 6)</t>
  </si>
  <si>
    <t xml:space="preserve">Charter Transportation Tuition (9130) (line 2236, col 6) </t>
  </si>
  <si>
    <t>Tuition to Out-of-State Schools (9200) (line 2240, col 6)</t>
  </si>
  <si>
    <t>Tuition to Non-Public Schools (9300) (line 2250, col 6)</t>
  </si>
  <si>
    <t>Tuition to Collaboratives (9400) (line 2260, col 6)</t>
  </si>
  <si>
    <t>Regional School Assessment (9500) (line 2270, col 6)</t>
  </si>
  <si>
    <t>Total Expenditures by City or Town (line 2290, col 6)</t>
  </si>
  <si>
    <t>Schedule C2 Expenditures From Grants &amp; Special Funds</t>
  </si>
  <si>
    <t>Total, DESE Administered Federal Grants (line 3080, cols 1, 2, 3)</t>
  </si>
  <si>
    <t>Many issues with Town</t>
  </si>
  <si>
    <t>Total, Other Federal Grants (line 3080, col 4)</t>
  </si>
  <si>
    <t>Account Position vacant for 8 months</t>
  </si>
  <si>
    <t>Total, DESE Administered State Grants (line 3080, col 5)</t>
  </si>
  <si>
    <t>SBM Position vacant for 4 months</t>
  </si>
  <si>
    <t>Total, Other State Grants (line 3080, col 6)</t>
  </si>
  <si>
    <t>Total, Circuit Breaker (line 3080, col 7)</t>
  </si>
  <si>
    <t>Total, Private Grants and Gifts (line 3080, col 8)</t>
  </si>
  <si>
    <t>As collected from MUNIS</t>
  </si>
  <si>
    <t>Total, School Choice and Other Day Tuition (line 3080, col 9)</t>
  </si>
  <si>
    <t>Not sure of Previous Year Accuracy</t>
  </si>
  <si>
    <t>Total, Athletics and Other Student Activities (line 3080, col 10)</t>
  </si>
  <si>
    <t>Total, School Lunch (line 3080, col 11)</t>
  </si>
  <si>
    <t>Total, Other Local Receipts (line 3080, col 12)</t>
  </si>
  <si>
    <t>Schedule 2  Assessments Received From Members</t>
  </si>
  <si>
    <t>Total Assessments Received from Members (line 3370, col 6)</t>
  </si>
  <si>
    <t>Schedule 3 Instruction Expenditures, School Committee</t>
  </si>
  <si>
    <t>Curriculum Directors  (Supervisory) (2110) (line 3409, col 6)</t>
  </si>
  <si>
    <t>Department Heads  (Non-Supervisory) (2120) (line 3419, col 6)</t>
  </si>
  <si>
    <t>Instructional Technology Leadership and Training (2130) (line 3427, col 6)</t>
  </si>
  <si>
    <t>School Leadership-Building (2210) (line 3434, col 6)</t>
  </si>
  <si>
    <t>Properly reported by DESE Code</t>
  </si>
  <si>
    <t>Administrative Technology and Support – Schools (2250) (line 3449, col 6)</t>
  </si>
  <si>
    <t>Teachers (2305) (line 3450, col 6)</t>
  </si>
  <si>
    <t>Medical/Therapeutic Services (2320) (line 3459, col 6)</t>
  </si>
  <si>
    <t>Substitutes, Long Term (2324) (line 3465, col 6)</t>
  </si>
  <si>
    <t>Substitutes, Short Term (2325) (line 3469, col 6)</t>
  </si>
  <si>
    <t>Non-Clerical Paraprofs./Instructional Assistants (2330) (line 3475, col 6)</t>
  </si>
  <si>
    <t>Librarians and Media Center Directors (2340) (line 3479, col 6)</t>
  </si>
  <si>
    <t>Shoud Show - Schedue 3 District $191,490</t>
  </si>
  <si>
    <t>Distance Learning and Online Coursework (2345) (line 3486, col 6)</t>
  </si>
  <si>
    <t>Professional Development Leadership (2351) (line 3493, col 6)</t>
  </si>
  <si>
    <t>Instructional Coaches (2352) (line 3498, col 6)</t>
  </si>
  <si>
    <t>Stipends for Teachers Providing Instructional Coaching (2354) (line 3499, col 6)</t>
  </si>
  <si>
    <t>Costs for Instructional Staff to Attend Prof. Dev. (2356) (line 3505, col 6)</t>
  </si>
  <si>
    <t>Outside Professional Development for Instructional Staff (2358) (line 3509, col 6)</t>
  </si>
  <si>
    <t>Textbooks (2410) (line 3511, col 6)</t>
  </si>
  <si>
    <t>Other Instructional Materials (2415) (line 3519, col 6)</t>
  </si>
  <si>
    <t>Instructional Equipment (2420) (line 3529, col 6)</t>
  </si>
  <si>
    <t>General Supplies (2430) (line 3535, col 6)</t>
  </si>
  <si>
    <t>Other Instructional Services (2440) (line 3544, col 6)</t>
  </si>
  <si>
    <t>Instructional Hardware –Student and Staff Devices (computers) (2451) (line 3548, col 6)</t>
  </si>
  <si>
    <t>Instructional Hardware—All Other (2453) (line 3552, col 6)</t>
  </si>
  <si>
    <t>Instructional Software and Other Instructional Materials (2455) (line 3556, col 6)</t>
  </si>
  <si>
    <t>Guidance Counselors and Adjustment Counselors (2710) (line 3569, col 6)</t>
  </si>
  <si>
    <t>Testing and Assessment (2720) (line 3579, col 6)</t>
  </si>
  <si>
    <t>Psychological Services (2800) (line 3589, col 6)</t>
  </si>
  <si>
    <t>Contracted Replacements</t>
  </si>
  <si>
    <t>Total Instruction (2000) (line 3599, col 6)</t>
  </si>
  <si>
    <t>Schedule 7 Pupil Transportation</t>
  </si>
  <si>
    <t>Outside the District Vocational Technical (line 4200, col 5)</t>
  </si>
  <si>
    <t>Total Expenditures and Depreciation All Programs (line 4290, col 5)</t>
  </si>
  <si>
    <t>Public Transportation Assessment (line 4310, col 5)</t>
  </si>
  <si>
    <t>Payments From Revolving and Special Funds (line 4320, col 5)</t>
  </si>
  <si>
    <t>Total Pupils Transported (line 4290, col 9)</t>
  </si>
  <si>
    <t>Schedule 19 Annual School Budget 2022, 2023 and 2024</t>
  </si>
  <si>
    <t>Estimated Expenditures by School Committee</t>
  </si>
  <si>
    <t>FY22 EOY    (FY23 Sch 19)</t>
  </si>
  <si>
    <t>FY23 EOY    (FY24 Sch 19)</t>
  </si>
  <si>
    <t>FY24 EOY    (FY25 Sch 19)</t>
  </si>
  <si>
    <t>Change
FY24 Sch 19 to
FY25 Sch 19</t>
  </si>
  <si>
    <t>Administration (1000) (line 7010, col 6)</t>
  </si>
  <si>
    <t>Proper Placement of DESE Code</t>
  </si>
  <si>
    <t>Instruction (2000) (line 7030, col 6)</t>
  </si>
  <si>
    <t>Pupil Transportation (3300) (line 7050, col 6)</t>
  </si>
  <si>
    <t>Operations and Maintenance (4000) (line 7080, col 6)</t>
  </si>
  <si>
    <t>Extraordinary Maintenance (4300) (line 7090, col 6)</t>
  </si>
  <si>
    <t>Employer Retirement Contributions (5100) (line 7100, col 6)</t>
  </si>
  <si>
    <t>Employee Separation Costs (5150) (line 7105, col 6)</t>
  </si>
  <si>
    <t>Insurance for Active Employees (5200) (line 7110, col 6)</t>
  </si>
  <si>
    <t>Insurance for Retired School Employees (5250) (line 7120, col 6)</t>
  </si>
  <si>
    <t>Other Non-Employee Insurance (5260) (line 7130, col 6)</t>
  </si>
  <si>
    <t>Rent (5300) (line 7140, col 6)</t>
  </si>
  <si>
    <t>Debt Service - Short-Term Interest RAN's (5400) (line 7150, col 6)</t>
  </si>
  <si>
    <t>Short Term Interest-BAN's (5450) (line 7155, col 6)</t>
  </si>
  <si>
    <t>Other Fixed Charges (5500) (line 7160, col 6)</t>
  </si>
  <si>
    <t>Fixed Assets (7000) (line 7190, col 6)</t>
  </si>
  <si>
    <t>Long-Term Debt Retirement/Sch Construction (8100) (line 7200, col 6)</t>
  </si>
  <si>
    <t>Long-Term Debt Service/Sch Construction (8200) (line 7210, col 6)</t>
  </si>
  <si>
    <t>Long-Term Debt Service/Educ. and Other (8400, 8600) (line 7270, col 6)</t>
  </si>
  <si>
    <t>Tuition to Mass. Public Schools (9100) (line 7280, col 6)</t>
  </si>
  <si>
    <t>School Choice Tuition (9110) (line 7285, col 6)</t>
  </si>
  <si>
    <t>Tuition to Commonwealth Charter Schools (9120) (line 7290, col 6)</t>
  </si>
  <si>
    <t>Tuition to Horace Mann Charter Schools (9125) (line 7295, col 6)</t>
  </si>
  <si>
    <t>Charter Transportation Tuition (9130) (line 7296, col 6)</t>
  </si>
  <si>
    <t>Tuition to Out-of-State Schools (9200) (line 7300, col 6)</t>
  </si>
  <si>
    <t>Tuition to Non-Public Schools (9300) (line 7305, col 6)</t>
  </si>
  <si>
    <t>Tuition to Collaboratives (9400) (line 7310, col 6)</t>
  </si>
  <si>
    <t>Total Appropriation by School Committee (line 7320, col 6)</t>
  </si>
  <si>
    <t>Estimated Expenditures by City/Town</t>
  </si>
  <si>
    <t>General Administrative Services (1000) (line 7400, col 6)</t>
  </si>
  <si>
    <t>As reproted by Town</t>
  </si>
  <si>
    <t>Educational Media  (2340, 2415) (line 7420, col 6)</t>
  </si>
  <si>
    <t>New Town Accountant after Vacancy of 8 monrhs</t>
  </si>
  <si>
    <t>Pupil Transportation (3300) (line 7440, col 6)</t>
  </si>
  <si>
    <t>Operations and Maintenance (4000) (line 7450, col 6)</t>
  </si>
  <si>
    <t>Extraordinary Maintenance (4300) (line 7460, col 6)</t>
  </si>
  <si>
    <t>Employer Retirement Contributions (5100) (line 7470, col 6)</t>
  </si>
  <si>
    <t>Employee Separation Costs (5150) (line 7475, col 6)</t>
  </si>
  <si>
    <t>Insurance for Active Employees (5200) (line 7480, col 6)</t>
  </si>
  <si>
    <t>Insurance for Retired School Employees (5250) (line 7490), col 6)</t>
  </si>
  <si>
    <t>Other Non-Employee Insurance (5260) (line 7500, col 6)</t>
  </si>
  <si>
    <t>Debt Service - Short-Term Interest RAN's (5400) (line 7515, col 6)</t>
  </si>
  <si>
    <t>Short Term Interest-BAN's (5450) (line 7520, col 6)</t>
  </si>
  <si>
    <t>Fixed Assets (7000) (line 7560, col 6)</t>
  </si>
  <si>
    <t>Long-Term Debt Retirement/Sch Construction (8100) (line 7570, col 6)</t>
  </si>
  <si>
    <t>Long-Term Debt Service/Sch Construction (8200) (line 7580, col 6)</t>
  </si>
  <si>
    <t>Long-Term Debt Service/Educ. and Other (8400, 8600) (line 7640, col 6)</t>
  </si>
  <si>
    <t>Tuition to Mass. Public Schools (9100) (line 7645, col 6)</t>
  </si>
  <si>
    <t>School Choice Tuition (9110) (line 7650, col 6)</t>
  </si>
  <si>
    <t>Tuition to Commonwealth Charter Schools (9120) (line 7655, col 6)</t>
  </si>
  <si>
    <t>Tuition to Horace Mann Charter Schools (9125) (line 7660, col 6)</t>
  </si>
  <si>
    <t>Charter Transportation Tuition (9130) (line 7661, col 6)</t>
  </si>
  <si>
    <t>Tuition to Out-of-State Schools (9200) (line 7665, col 6)</t>
  </si>
  <si>
    <t>Tuition to Non-Public Schools (9300) (line 7670, col 6)</t>
  </si>
  <si>
    <t>Tuition to Collaboratives (9400) (line 7675, col 6)</t>
  </si>
  <si>
    <t>Regional School Assessments (9500) (line 7680, col 6)</t>
  </si>
  <si>
    <t>Total Expenditures by City/Town (line 7690, col 6)</t>
  </si>
  <si>
    <t>B. Estimated Revenues From Local Sources</t>
  </si>
  <si>
    <t>Total  Revenue From Local Sources (line 7910, col 6)</t>
  </si>
  <si>
    <t>In line with FY22</t>
  </si>
  <si>
    <t>C. Regional School Districts' Approved Budgets</t>
  </si>
  <si>
    <t>Total Assessments Received From Members (line 8270, col 6)</t>
  </si>
  <si>
    <t>D. Average Teacher Salary FY22 through FY24</t>
  </si>
  <si>
    <t>Total Teacher Salaries</t>
  </si>
  <si>
    <t xml:space="preserve">N of FTE Teachers </t>
  </si>
  <si>
    <t xml:space="preserve">Average Teacher Salary </t>
  </si>
  <si>
    <t>E. Title I Maintenance of Effort</t>
  </si>
  <si>
    <t>FY24 % of FY23</t>
  </si>
  <si>
    <t>Total Expenditures (If FY24 is &lt; 90% of FY23, MOE is not met)</t>
  </si>
  <si>
    <t>F. IDEA Maintenance of Effort</t>
  </si>
  <si>
    <t>Total Expenditures (If FY24 is &lt; 100% of FY23, MOE is not met)</t>
  </si>
  <si>
    <t>This edit page consists of a review of the internal consistency of the information on your report.</t>
  </si>
  <si>
    <t>To run the edits, hit the "run edit program" button.</t>
  </si>
  <si>
    <t>Please review the areas checked and make corrections to the "eoy24" sheet where necessary.</t>
  </si>
  <si>
    <t xml:space="preserve">If you feel the data as reported are justified, but an edit continues to be displayed, please explain </t>
  </si>
  <si>
    <t xml:space="preserve">in the "comments" sheet.    Thanks for your attention to these questions -- your efforts here    </t>
  </si>
  <si>
    <t>make the editing process a lot simpler, and give you the chance to let DESE know about special</t>
  </si>
  <si>
    <t>situations that you think justify what would otherwise be deemed to be an error.</t>
  </si>
  <si>
    <t>LEA</t>
  </si>
  <si>
    <t>District</t>
  </si>
  <si>
    <t>Edit 1: Correspondence of General Fund Transportation Fees and Expenditures and Sch 7 Expenditures</t>
  </si>
  <si>
    <t>Non-reimburseable transportation expenditures reported on Sch 7 line 4000</t>
  </si>
  <si>
    <t>must equal or exceed general fund transportation fees on Sch 1 line 70</t>
  </si>
  <si>
    <t>Sch 1 Transportation Fees and Expenditures</t>
  </si>
  <si>
    <t xml:space="preserve">Sch 7 Pupil Transportation </t>
  </si>
  <si>
    <t>Column</t>
  </si>
  <si>
    <t>Entry</t>
  </si>
  <si>
    <t>1 - Fees Regular Day</t>
  </si>
  <si>
    <t>&gt;</t>
  </si>
  <si>
    <t>3 - Reg Day&lt;1.5</t>
  </si>
  <si>
    <t>see formula</t>
  </si>
  <si>
    <t>1 - Expenditures Regular Day</t>
  </si>
  <si>
    <t>&lt;&gt;</t>
  </si>
  <si>
    <t>5- Total</t>
  </si>
  <si>
    <t>col 7-11  Payments from Revolving and Special Funds</t>
  </si>
  <si>
    <t>5- Payments from Revolving and Special Funds</t>
  </si>
  <si>
    <t>Edit 2: Correspondence of Riders Transported and Transportation Expenditures</t>
  </si>
  <si>
    <t>Schedule 7 Expenditures</t>
  </si>
  <si>
    <t>Schedule 7 Riders</t>
  </si>
  <si>
    <t>1 - School Trans Vehicle</t>
  </si>
  <si>
    <t>6 - School Trans Vehicle</t>
  </si>
  <si>
    <t>2 - Public Utilities</t>
  </si>
  <si>
    <t>7 - Public Utilities</t>
  </si>
  <si>
    <t>3 - Non-Reimburseable</t>
  </si>
  <si>
    <t>8 - Non-Reimburseable</t>
  </si>
  <si>
    <t>1 - Special Ed Expenditures</t>
  </si>
  <si>
    <t>6 - Special Ed Riders</t>
  </si>
  <si>
    <t>2 - Special Ed Expenditures</t>
  </si>
  <si>
    <t>7 - Special Ed Riders</t>
  </si>
  <si>
    <t>Edit 3: Regional School District Member, But No Regional Assessment Reported</t>
  </si>
  <si>
    <t>Schedule 1 - FY24 Assessment</t>
  </si>
  <si>
    <t>Schedule 19 - FY25 Assessment</t>
  </si>
  <si>
    <t>Edit 4: Correspondence of Revenues and Expenditures From Grants and Other Funds</t>
  </si>
  <si>
    <t>Expenditures, Other DESE Administered Federal  Grants</t>
  </si>
  <si>
    <t>Revenues, DESE Administered Federal Grants</t>
  </si>
  <si>
    <t>Schedule 1, C.2, Columns 1-3</t>
  </si>
  <si>
    <t>Schedule 1 C, Line 300</t>
  </si>
  <si>
    <t>Description</t>
  </si>
  <si>
    <t>Distance Learning and Online Coursework (2345)</t>
  </si>
  <si>
    <t>Textbooks and Related Software/Media/Materials (2410)</t>
  </si>
  <si>
    <t>b</t>
  </si>
  <si>
    <t>3080</t>
  </si>
  <si>
    <t>TOTAL Expenditures</t>
  </si>
  <si>
    <t>9 - Total Rev</t>
  </si>
  <si>
    <t>Expenditures, Other Federal Grants</t>
  </si>
  <si>
    <t>Revenues, Direct Federal Grants</t>
  </si>
  <si>
    <t>Schedule 1, C.2, Column 4</t>
  </si>
  <si>
    <t>Schedule 1, C, Line 481</t>
  </si>
  <si>
    <t>Expenditures, DESE Administered State Grants</t>
  </si>
  <si>
    <t>Revenues, DESE Administered State Grants</t>
  </si>
  <si>
    <t>Schedule 1, C.2, Column 5</t>
  </si>
  <si>
    <t>Schedule 1, C, Line 510</t>
  </si>
  <si>
    <t>District-wide Information Mgmt and Tech (1450)</t>
  </si>
  <si>
    <t>Building Technology (2250)</t>
  </si>
  <si>
    <t>Expenditures, Other State Grants</t>
  </si>
  <si>
    <t>Revenues, Other State Grants</t>
  </si>
  <si>
    <t>Schedule 1, C.2, Column 6</t>
  </si>
  <si>
    <t>Schedule 1, C, Line 590</t>
  </si>
  <si>
    <t>Expenditures, Circuit Breaker</t>
  </si>
  <si>
    <t>Revenues, Circuit Breaker</t>
  </si>
  <si>
    <t>Schedule 1, C.2, Column 7</t>
  </si>
  <si>
    <t>Schedule 1, C, Line 180</t>
  </si>
  <si>
    <t>Expenditures, Private Grants &amp; Gifts</t>
  </si>
  <si>
    <t>Revenues, Private Grants</t>
  </si>
  <si>
    <t>Schedule 1, C.2, Column 8</t>
  </si>
  <si>
    <t>Schedule 1, C, Line 660</t>
  </si>
  <si>
    <t>Technology Maintenance (4450)</t>
  </si>
  <si>
    <t>Expenditures, School Choice and Other Day Tuition</t>
  </si>
  <si>
    <t>Revenues, School Choice &amp; Tuition-Other</t>
  </si>
  <si>
    <t>Schedule 1, C.2, Column 9</t>
  </si>
  <si>
    <t>Schedule 1, C, Lines 630 &amp; 640</t>
  </si>
  <si>
    <t xml:space="preserve"> 9 - Total Choice Receipts</t>
  </si>
  <si>
    <t xml:space="preserve"> 1 - Tuition Receipts, Reg</t>
  </si>
  <si>
    <t xml:space="preserve"> 2 - Tuition Receipts, Sped</t>
  </si>
  <si>
    <t xml:space="preserve"> 4 - Tuition Receipts, Occup</t>
  </si>
  <si>
    <t xml:space="preserve"> 8 - Tuition Receipts, Undist</t>
  </si>
  <si>
    <t>Total Expenditures</t>
  </si>
  <si>
    <t>subtot</t>
  </si>
  <si>
    <t>9 - Total Revenue</t>
  </si>
  <si>
    <t>Expenditures, School Lunch Fund</t>
  </si>
  <si>
    <t xml:space="preserve">Revenues, School Lunch </t>
  </si>
  <si>
    <t>Schedule 1, C.2, Column 11</t>
  </si>
  <si>
    <t>Schedule 1, C, Line 610</t>
  </si>
  <si>
    <t>P</t>
  </si>
  <si>
    <t xml:space="preserve">Edit 5: Correspondence of Schedule 1 General Fund plus Circuit Breaker, with Schedule 4  Special Education Expenditures </t>
  </si>
  <si>
    <t>Schedule 1 GF and Circuit Breaker Expenditures</t>
  </si>
  <si>
    <t>Schedule 4</t>
  </si>
  <si>
    <t>Special Education Expenditures by Function- Col 2 Sch 1A &amp; Col 5 Sch 1C2</t>
  </si>
  <si>
    <t>Sped Total Expenditures by Function - Col 9</t>
  </si>
  <si>
    <t>lines</t>
  </si>
  <si>
    <t>Function</t>
  </si>
  <si>
    <t>Curr Dir's and Non-Supv Dept Heads (2100)</t>
  </si>
  <si>
    <t>School Curric. Leaders/Department Heads-Building Level (2200)</t>
  </si>
  <si>
    <t>Total Health Non-Public Sch</t>
  </si>
  <si>
    <t>Total Health Non-Publlic</t>
  </si>
  <si>
    <t>School Committee Tuition to Mass. Public Schools</t>
  </si>
  <si>
    <t>Municipal Tuition to Mass. Public Schools</t>
  </si>
  <si>
    <t>Circuit Breaker Tuition to Mass. Public Schools</t>
  </si>
  <si>
    <t xml:space="preserve">Tuition To Mass. Schools </t>
  </si>
  <si>
    <t>Tuition to Mass. Schools</t>
  </si>
  <si>
    <t>School Committee School Choice Tuition</t>
  </si>
  <si>
    <t>Municipal School Choice Tuition</t>
  </si>
  <si>
    <t>School Choice Tuition</t>
  </si>
  <si>
    <t>Sch Choice Tuition</t>
  </si>
  <si>
    <t>School Committee Commonwealth Charter School Tuition</t>
  </si>
  <si>
    <t>Municipal Commonwealth Charter School Tuition</t>
  </si>
  <si>
    <t>Commonwealth Charter School Tuition</t>
  </si>
  <si>
    <t>School Committee Tuition to Horace Mann Charter Schools</t>
  </si>
  <si>
    <t>Municipal Tuition To Horace Mann Charter Schools</t>
  </si>
  <si>
    <t>Circuit Breaker Tuition to Horace Mann Charter Schools</t>
  </si>
  <si>
    <t>Tuition To Horace Mann Charter Schools</t>
  </si>
  <si>
    <t>Horace Mann Charter School Tuition</t>
  </si>
  <si>
    <t>School Committee Tuition Out of State</t>
  </si>
  <si>
    <t>Municipal Tuition Out of State</t>
  </si>
  <si>
    <t xml:space="preserve">Circuit Breaker Tuition Out of State </t>
  </si>
  <si>
    <t>Total Out of State Tuition</t>
  </si>
  <si>
    <t>Tuition Out of State</t>
  </si>
  <si>
    <t>School Committee Tuition, Non Public</t>
  </si>
  <si>
    <t>Municipal Tuition Non Public</t>
  </si>
  <si>
    <t xml:space="preserve">Circuit Breaker Tuition Non Public </t>
  </si>
  <si>
    <t>Total Tuition To Non Pub Sch</t>
  </si>
  <si>
    <t>Tuition to Non Public Schools</t>
  </si>
  <si>
    <t>School Committee Tuition to Collaboratives</t>
  </si>
  <si>
    <t>Municipal Tuition to Collaboratives</t>
  </si>
  <si>
    <t>Circuit Breaker Tuition to Collaboratives</t>
  </si>
  <si>
    <t xml:space="preserve">Total Tuition To Collaboratives </t>
  </si>
  <si>
    <t>Tuition to Collaboratives</t>
  </si>
  <si>
    <t>Edit 6: Schedule 19 Validity Checks</t>
  </si>
  <si>
    <t>Schedule 19 Instructional Expenditures</t>
  </si>
  <si>
    <t>Schedule 19 instructional expenditures must be distributed across programs.</t>
  </si>
  <si>
    <t>1 - Regular Day Instruction</t>
  </si>
  <si>
    <t>2 - Special Education</t>
  </si>
  <si>
    <t>3 - C74 Vocational Technical Programs</t>
  </si>
  <si>
    <t>TOTAL Distributed Expenditures</t>
  </si>
  <si>
    <t>6 - Undistributed</t>
  </si>
  <si>
    <t>Edit 7: Sch 1 vs Sch 7 Transportation Expenditures</t>
  </si>
  <si>
    <t>Sch 1 gen fund sch comm public transp expenditures subtotal</t>
  </si>
  <si>
    <t>1 - Sch 7 gf transp exp, reimburseable, sch vehicle</t>
  </si>
  <si>
    <t>Sch 1 gen fund sch comm non-public transp exp subtotal</t>
  </si>
  <si>
    <t>2 - Sch 7 gf transp exp, reimburseable, public utilities</t>
  </si>
  <si>
    <t>Sch 1 gen fund municipal public transp expenditures subtotal</t>
  </si>
  <si>
    <t>3 - Sch 7 gf transp exp, non-reimburseable</t>
  </si>
  <si>
    <t>Sch 1 gen fund municipal non-public transp exp subtotal</t>
  </si>
  <si>
    <t>Sch 1 general fund transportation expenditures total</t>
  </si>
  <si>
    <t>Sch 7 general fund transportation exp total</t>
  </si>
  <si>
    <t>Sch 1 other funds public transportation expenditures total</t>
  </si>
  <si>
    <t>Sch 1 other funds non-public transportation expenditures total</t>
  </si>
  <si>
    <t>Sch 1 other funds transportation expenditures total</t>
  </si>
  <si>
    <t>Transp Payments, Revolving and Special Funds</t>
  </si>
  <si>
    <t>Edit 8: Sch 4 grant expenditures</t>
  </si>
  <si>
    <t>Expenditures from grants, revolving funds (not cb)</t>
  </si>
  <si>
    <t>Spending from special education grants and/or revolving funds other than circuit breaker should be included on this line</t>
  </si>
  <si>
    <t>Edit 9: SBA One-Time Payments must be reflected in purchase of land and buildings in FY24 or FY25</t>
  </si>
  <si>
    <t xml:space="preserve">FY24 purchase of land and buildings - school committee </t>
  </si>
  <si>
    <t>FY24 purchase of land and buildings - municipal</t>
  </si>
  <si>
    <t xml:space="preserve">FY25 fixed assets (7000) - school committee </t>
  </si>
  <si>
    <t>FY25 fixed assets (7000) - municipal</t>
  </si>
  <si>
    <t>MSBA "other" payments in FY24</t>
  </si>
  <si>
    <t>combined payments, 7000's, prior and current year</t>
  </si>
  <si>
    <t>Edit 10: Sch 18 teacher contract survey is incomplete</t>
  </si>
  <si>
    <t>Incomplete responses</t>
  </si>
  <si>
    <t>Edit 11: No employee separation costs were reported in FY24. If this is accurate, please provide a comment on the comments worksheet.</t>
  </si>
  <si>
    <t>Schedule 1 School Committee: Employee Separation Costs (5150)</t>
  </si>
  <si>
    <t>Schedule 1 City/Town: Employee Separation Costs (5150)</t>
  </si>
  <si>
    <t>Schedule 1 C.2. Expenditures from Federal Grants, State Grants, and Revolving Funds</t>
  </si>
  <si>
    <t>Edit 12: IDEA &amp; Title 1 MOE for FY24 is met</t>
  </si>
  <si>
    <t>Reports tab: E. Title I Maintenance of Effort &lt;90% from FY23/FY24</t>
  </si>
  <si>
    <t>FY24 (Total local funds calculation)</t>
  </si>
  <si>
    <t>Reports tab: F. IDEA Maintenance of Effort &lt;100% from FY23/FY24</t>
  </si>
  <si>
    <t xml:space="preserve">If you are unable to resolve this edit please contact Etse Oriakhi (781-338-3382) for further instruction.  </t>
  </si>
  <si>
    <t>Additional MOE Calculator resource provided by CIFR (click here)</t>
  </si>
  <si>
    <t>Edit 13: All Schedule 3 schools have not reported expenditures</t>
  </si>
  <si>
    <t>Please review and confirm that all schools in Schedule 3 have reported instructional costs</t>
  </si>
  <si>
    <t>Edit 14: Excess Cost Calculator is incomplete</t>
  </si>
  <si>
    <t>Edit 15: Reports Tab Potential Year-Over-Year Reporting Errors</t>
  </si>
  <si>
    <t>Number of potential year over year reporting errors</t>
  </si>
  <si>
    <t>Please review and correct any data reporting errors or select "OK" from the dropdown menu if the reported data is correct in order to clear the edit</t>
  </si>
  <si>
    <t>Edit 16: Statutory versus Alternative Assessment Method for Regional School districts</t>
  </si>
  <si>
    <t>Please indicate whether the district used the statutory or alternative assessment method on Schedule 2</t>
  </si>
  <si>
    <t>Please indicate whether the district used the statutory or alternative assessment method on Schedule 19c</t>
  </si>
  <si>
    <t>Edit 17: Difference in regional assessments reported between Schedule 1 Revenues and Schedule 2</t>
  </si>
  <si>
    <t>Regional assessment revenues reported on Schedule 1 do not equal Schedule 2</t>
  </si>
  <si>
    <t>Edit 18: One or more schedules are incomplete, please complete all required schedules before submitting the report</t>
  </si>
  <si>
    <t>Schedule 1 School Committee</t>
  </si>
  <si>
    <t>Schedule 1 City/Town</t>
  </si>
  <si>
    <t>Schedule 1 Grants and Special Funds</t>
  </si>
  <si>
    <t>Schedule 2</t>
  </si>
  <si>
    <t>Schedule 3</t>
  </si>
  <si>
    <t>Schedule 7</t>
  </si>
  <si>
    <t>Schedule 19 School Committee</t>
  </si>
  <si>
    <t>Schedule 19 City/Town</t>
  </si>
  <si>
    <t>Schedule 19 Revenues</t>
  </si>
  <si>
    <t xml:space="preserve">Schedule 19 Regional </t>
  </si>
  <si>
    <t>Edit 19: No Screening and Team Evaluation expenditures reported on Schedule 4</t>
  </si>
  <si>
    <t>Line 3860: Screening and Team Evaluation (column 8)</t>
  </si>
  <si>
    <t xml:space="preserve">Edit 20: Regional school district expenditures for capital and debt, but no regional capital/debt assessment reported </t>
  </si>
  <si>
    <t>Schedule 1 - FY24 Capital and Debt Expenditures (General Fund)</t>
  </si>
  <si>
    <t>Schedule 2 - FY24 Assessment for Capital and Debt Expenditures</t>
  </si>
  <si>
    <t>Schedule 19 - FY25 Capital and Debt Expenditures</t>
  </si>
  <si>
    <t>Schedule 19C - FY25 Assessment for Capital and Debt Expenditures</t>
  </si>
  <si>
    <t>Edit 21: Correspondance of transportation spending and number of riders for students transported over 1.5 miles</t>
  </si>
  <si>
    <t>Expenditures for students transported more than 1.5 miles should not exceed their share of total riders. Please provide a comment if your district uses the mileage method for allocating costs.</t>
  </si>
  <si>
    <t>Expenditures for students transported over 1.5 miles as % total</t>
  </si>
  <si>
    <t>Riders transported over 1.5 miles as % total riders</t>
  </si>
  <si>
    <t>Edit 22: Expenditures were reported in Other Programs. If this is accurate, please provide a comment on the comments worksheet.</t>
  </si>
  <si>
    <t xml:space="preserve">Total Expenditures by School Committee, Other Programs </t>
  </si>
  <si>
    <t xml:space="preserve">Total Expenditures by City or Town, Other Programs </t>
  </si>
  <si>
    <t>2023-2024 End of Year Pupil and Financial Report</t>
  </si>
  <si>
    <t>Schedule 3 District Total</t>
  </si>
  <si>
    <t xml:space="preserve"> FEDERAL  GRANTS</t>
  </si>
  <si>
    <t>STATE GRANTS</t>
  </si>
  <si>
    <t>REVOLVING AND SPECIAL REVENUE FUNDS</t>
  </si>
  <si>
    <t>Adult Ed.</t>
  </si>
  <si>
    <t>Chapter 74</t>
  </si>
  <si>
    <t>And</t>
  </si>
  <si>
    <t>ESSER</t>
  </si>
  <si>
    <t>Administered</t>
  </si>
  <si>
    <t>Choice and</t>
  </si>
  <si>
    <t>Expenditures</t>
  </si>
  <si>
    <t>Regular</t>
  </si>
  <si>
    <t>Special</t>
  </si>
  <si>
    <t>Vocational/</t>
  </si>
  <si>
    <t>City/Town</t>
  </si>
  <si>
    <t>ESSER I</t>
  </si>
  <si>
    <t>ESSER II</t>
  </si>
  <si>
    <t>ESSER III</t>
  </si>
  <si>
    <t>SEA</t>
  </si>
  <si>
    <t>Federal</t>
  </si>
  <si>
    <t>State</t>
  </si>
  <si>
    <t>All</t>
  </si>
  <si>
    <t>Day</t>
  </si>
  <si>
    <t>Education</t>
  </si>
  <si>
    <t>Technical</t>
  </si>
  <si>
    <t>Undistributed</t>
  </si>
  <si>
    <t>Appropriation</t>
  </si>
  <si>
    <t>FC 305</t>
  </si>
  <si>
    <t>FC 113</t>
  </si>
  <si>
    <t>FC 115</t>
  </si>
  <si>
    <t>FC 119</t>
  </si>
  <si>
    <t>Reserve</t>
  </si>
  <si>
    <t>GEER</t>
  </si>
  <si>
    <t>Blank</t>
  </si>
  <si>
    <t>Grants</t>
  </si>
  <si>
    <t>Funds</t>
  </si>
  <si>
    <t>3456</t>
  </si>
  <si>
    <t>3457</t>
  </si>
  <si>
    <t>Instructional Hardware – Student and Staff Devices (computers) (2451)</t>
  </si>
  <si>
    <t>Name</t>
  </si>
  <si>
    <t>Grade Level</t>
  </si>
  <si>
    <t>Schedule 3 Individual School Expenditures</t>
  </si>
  <si>
    <t>000</t>
  </si>
  <si>
    <t>Districtwide</t>
  </si>
  <si>
    <t>K</t>
  </si>
  <si>
    <t>3455</t>
  </si>
  <si>
    <t>Schedule 18 Survey</t>
  </si>
  <si>
    <r>
      <t xml:space="preserve">Please answer questions 1-18 as they pertain to your district's current teacher's contract. If your contract has expired, please answer based on the scale being used this year through a memorandum of agreement or evergreen clause. </t>
    </r>
    <r>
      <rPr>
        <b/>
        <sz val="14"/>
        <color indexed="8"/>
        <rFont val="Calibri"/>
        <family val="2"/>
      </rPr>
      <t>Enter NA</t>
    </r>
    <r>
      <rPr>
        <sz val="14"/>
        <color indexed="8"/>
        <rFont val="Calibri"/>
        <family val="2"/>
      </rPr>
      <t xml:space="preserve"> for any items that do not apply to your district.</t>
    </r>
  </si>
  <si>
    <t>Code</t>
  </si>
  <si>
    <t>Response</t>
  </si>
  <si>
    <t>1.</t>
  </si>
  <si>
    <t>What are the effective dates (start and end dates) of your current teacher's contract?</t>
  </si>
  <si>
    <t>0001</t>
  </si>
  <si>
    <t>ContractStart</t>
  </si>
  <si>
    <t>Start (m/d/yy)</t>
  </si>
  <si>
    <t>0002</t>
  </si>
  <si>
    <t>ContractEnd</t>
  </si>
  <si>
    <t>End (m/d/yy)</t>
  </si>
  <si>
    <t>2.</t>
  </si>
  <si>
    <t xml:space="preserve">What are the annual negotiated salary increases (% COLA) provided for in your current teacher contract? Provide all relevant years. </t>
  </si>
  <si>
    <t>0003</t>
  </si>
  <si>
    <t>COLA22</t>
  </si>
  <si>
    <t>0004</t>
  </si>
  <si>
    <t>COLA23</t>
  </si>
  <si>
    <t>0005</t>
  </si>
  <si>
    <t>COLA24</t>
  </si>
  <si>
    <t>0006</t>
  </si>
  <si>
    <t>COLA25</t>
  </si>
  <si>
    <t>FY25</t>
  </si>
  <si>
    <t>TBD</t>
  </si>
  <si>
    <t>3.</t>
  </si>
  <si>
    <r>
      <t xml:space="preserve">Please provide the number of </t>
    </r>
    <r>
      <rPr>
        <u/>
        <sz val="12"/>
        <color indexed="8"/>
        <rFont val="Calibri"/>
        <family val="2"/>
      </rPr>
      <t>lanes</t>
    </r>
    <r>
      <rPr>
        <sz val="12"/>
        <color indexed="8"/>
        <rFont val="Calibri"/>
        <family val="2"/>
      </rPr>
      <t xml:space="preserve"> in your current teacher salary schedule.</t>
    </r>
  </si>
  <si>
    <t>0007</t>
  </si>
  <si>
    <t>NLanes</t>
  </si>
  <si>
    <t>N lanes</t>
  </si>
  <si>
    <t>4.</t>
  </si>
  <si>
    <r>
      <t xml:space="preserve">Please provide the number of </t>
    </r>
    <r>
      <rPr>
        <u/>
        <sz val="12"/>
        <color indexed="8"/>
        <rFont val="Calibri"/>
        <family val="2"/>
      </rPr>
      <t>steps</t>
    </r>
    <r>
      <rPr>
        <sz val="12"/>
        <color indexed="8"/>
        <rFont val="Calibri"/>
        <family val="2"/>
      </rPr>
      <t xml:space="preserve"> in your current teacher salary schedule.</t>
    </r>
  </si>
  <si>
    <t>0008</t>
  </si>
  <si>
    <t>Nsteps</t>
  </si>
  <si>
    <t>N steps</t>
  </si>
  <si>
    <t>5.</t>
  </si>
  <si>
    <t>What are the lowest step, step 5, and top step salary amounts ($/year) for the bachelors, masters, and highest lane in your FY24 teacher salary schedule? Do not include longevity or other credits.</t>
  </si>
  <si>
    <t>0009</t>
  </si>
  <si>
    <t>LowestStepBachelors</t>
  </si>
  <si>
    <t>Lowest step</t>
  </si>
  <si>
    <t>Bachelors</t>
  </si>
  <si>
    <t>0010</t>
  </si>
  <si>
    <t>LowestStepMasters</t>
  </si>
  <si>
    <t>Masters</t>
  </si>
  <si>
    <t>0011</t>
  </si>
  <si>
    <t>LowestStepHighest</t>
  </si>
  <si>
    <t>Highest</t>
  </si>
  <si>
    <t>0012</t>
  </si>
  <si>
    <t>Step5Bachelors</t>
  </si>
  <si>
    <t>Step 5</t>
  </si>
  <si>
    <t>0013</t>
  </si>
  <si>
    <t>Step5Masters</t>
  </si>
  <si>
    <t>0014</t>
  </si>
  <si>
    <t>Step5Highest</t>
  </si>
  <si>
    <t>0015</t>
  </si>
  <si>
    <t>HighestStepBachelors</t>
  </si>
  <si>
    <t>Highest step</t>
  </si>
  <si>
    <t>0016</t>
  </si>
  <si>
    <t>HighestStepMasters</t>
  </si>
  <si>
    <t>0017</t>
  </si>
  <si>
    <t>HighestStepHighest</t>
  </si>
  <si>
    <t>6.</t>
  </si>
  <si>
    <t>Does your teacher contract include longevity?</t>
  </si>
  <si>
    <t>0018</t>
  </si>
  <si>
    <t>LongevityYesNo</t>
  </si>
  <si>
    <t>Yes/No</t>
  </si>
  <si>
    <t>Yes</t>
  </si>
  <si>
    <t>7.</t>
  </si>
  <si>
    <t>If yes, how many years must a teacher work to be eligible for the first level of longevity?</t>
  </si>
  <si>
    <t>0019</t>
  </si>
  <si>
    <t>LongevityFirst</t>
  </si>
  <si>
    <t>N years</t>
  </si>
  <si>
    <t>8.</t>
  </si>
  <si>
    <t>How much is the first level of longevity (enter $ amount or %)?</t>
  </si>
  <si>
    <t>0020</t>
  </si>
  <si>
    <t>LongevityFirst$</t>
  </si>
  <si>
    <t>$ amount</t>
  </si>
  <si>
    <t>0021</t>
  </si>
  <si>
    <t>LongevityFirst%</t>
  </si>
  <si>
    <t>%</t>
  </si>
  <si>
    <t>9.</t>
  </si>
  <si>
    <t>How many years must a teacher work to be eligible for the highest level of longevity?</t>
  </si>
  <si>
    <t>0022</t>
  </si>
  <si>
    <t>LongevityHighest</t>
  </si>
  <si>
    <t>10.</t>
  </si>
  <si>
    <t>How much is the highest level of longevity (enter $ amount or %)?</t>
  </si>
  <si>
    <t>0023</t>
  </si>
  <si>
    <t>LongevityHighest$</t>
  </si>
  <si>
    <t>0024</t>
  </si>
  <si>
    <t>LongevityHighest%</t>
  </si>
  <si>
    <t>11.</t>
  </si>
  <si>
    <t>Please provide the number of days specified in your teacher contract or otherwise in the following categories:</t>
  </si>
  <si>
    <t>0025</t>
  </si>
  <si>
    <t>TeacherWorkYearDays</t>
  </si>
  <si>
    <t>Teacher work year</t>
  </si>
  <si>
    <t>0026</t>
  </si>
  <si>
    <t>InstructionalYearDays</t>
  </si>
  <si>
    <t>Instructional year</t>
  </si>
  <si>
    <t>0027</t>
  </si>
  <si>
    <t>EarlyReleaseDays</t>
  </si>
  <si>
    <t>Early release</t>
  </si>
  <si>
    <t>12.</t>
  </si>
  <si>
    <t>Please provide the number of early release days for professional development:</t>
  </si>
  <si>
    <t>0028</t>
  </si>
  <si>
    <t>EarlyReleaseDaysPD</t>
  </si>
  <si>
    <t>13.</t>
  </si>
  <si>
    <t>Please provide the number of sick days, personal days, and max accumulation of sick days provided in your current teacher's contract:</t>
  </si>
  <si>
    <t>0029</t>
  </si>
  <si>
    <t>SickDays</t>
  </si>
  <si>
    <t>N sick days</t>
  </si>
  <si>
    <t>0030</t>
  </si>
  <si>
    <t>PersonalDays</t>
  </si>
  <si>
    <t>N personal days</t>
  </si>
  <si>
    <t>0031</t>
  </si>
  <si>
    <t>MaxAccumulationDays</t>
  </si>
  <si>
    <t xml:space="preserve">Max accumulation </t>
  </si>
  <si>
    <t>14.</t>
  </si>
  <si>
    <r>
      <t xml:space="preserve">Based on the health insurance plans that are available in your district, what are your district's highest and lowest </t>
    </r>
    <r>
      <rPr>
        <u/>
        <sz val="12"/>
        <color indexed="8"/>
        <rFont val="Calibri"/>
        <family val="2"/>
      </rPr>
      <t>employer</t>
    </r>
    <r>
      <rPr>
        <sz val="12"/>
        <color indexed="8"/>
        <rFont val="Calibri"/>
        <family val="2"/>
      </rPr>
      <t xml:space="preserve"> shares for health insurance for </t>
    </r>
    <r>
      <rPr>
        <i/>
        <sz val="12"/>
        <color indexed="8"/>
        <rFont val="Calibri"/>
        <family val="2"/>
      </rPr>
      <t>standard family plans</t>
    </r>
    <r>
      <rPr>
        <sz val="12"/>
        <color indexed="8"/>
        <rFont val="Calibri"/>
        <family val="2"/>
      </rPr>
      <t xml:space="preserve"> active and retired employees?</t>
    </r>
  </si>
  <si>
    <t>0032</t>
  </si>
  <si>
    <t>EmployerShareActive</t>
  </si>
  <si>
    <r>
      <rPr>
        <u/>
        <sz val="11"/>
        <color indexed="8"/>
        <rFont val="Calibri"/>
        <family val="2"/>
      </rPr>
      <t>Employer</t>
    </r>
    <r>
      <rPr>
        <sz val="11"/>
        <color indexed="8"/>
        <rFont val="Calibri"/>
        <family val="2"/>
      </rPr>
      <t xml:space="preserve"> share: Active employees</t>
    </r>
  </si>
  <si>
    <t>Highest %</t>
  </si>
  <si>
    <t>0033</t>
  </si>
  <si>
    <t>Lowest %</t>
  </si>
  <si>
    <t>0034</t>
  </si>
  <si>
    <t>EmployerShareRetired</t>
  </si>
  <si>
    <r>
      <rPr>
        <u/>
        <sz val="11"/>
        <color indexed="8"/>
        <rFont val="Calibri"/>
        <family val="2"/>
      </rPr>
      <t>Employer</t>
    </r>
    <r>
      <rPr>
        <sz val="11"/>
        <color indexed="8"/>
        <rFont val="Calibri"/>
        <family val="2"/>
      </rPr>
      <t xml:space="preserve"> share: Retired employees</t>
    </r>
  </si>
  <si>
    <t>0035</t>
  </si>
  <si>
    <t>15.</t>
  </si>
  <si>
    <r>
      <rPr>
        <sz val="12"/>
        <rFont val="Calibri"/>
        <family val="2"/>
      </rPr>
      <t xml:space="preserve">Does your accounting system permit the reporting of all school district expenditures by fund source, object, and function and the reporting of instructional costs by program and school, see </t>
    </r>
    <r>
      <rPr>
        <u/>
        <sz val="12"/>
        <color indexed="12"/>
        <rFont val="Calibri"/>
        <family val="2"/>
      </rPr>
      <t>603 CMR 10.03 3(a)?</t>
    </r>
  </si>
  <si>
    <t>0036</t>
  </si>
  <si>
    <t>AccountRegs</t>
  </si>
  <si>
    <t>16.</t>
  </si>
  <si>
    <t>Does your accounting system include school location codes?</t>
  </si>
  <si>
    <t>0037</t>
  </si>
  <si>
    <t>LocationCodes</t>
  </si>
  <si>
    <t>No</t>
  </si>
  <si>
    <t>17.</t>
  </si>
  <si>
    <t>Does your district use DESE function codes in the coding structure in your accounting software or is a crosswalk needed?</t>
  </si>
  <si>
    <t>0038</t>
  </si>
  <si>
    <t>CodesOrCrosswalk</t>
  </si>
  <si>
    <t>Both</t>
  </si>
  <si>
    <t>18.</t>
  </si>
  <si>
    <t>Do you provide your own self-operated regular or special education transportation?</t>
  </si>
  <si>
    <t>0039</t>
  </si>
  <si>
    <t>RegularTransport</t>
  </si>
  <si>
    <t>Regular 
education</t>
  </si>
  <si>
    <t>0040</t>
  </si>
  <si>
    <t>SpecialTransport</t>
  </si>
  <si>
    <t>Special
education</t>
  </si>
  <si>
    <t>Adult Ed</t>
  </si>
  <si>
    <t>010</t>
  </si>
  <si>
    <t>025</t>
  </si>
  <si>
    <t>305</t>
  </si>
  <si>
    <t>505</t>
  </si>
  <si>
    <t>FY24 Schedule 20 Non-Instructional Grant Expenditures</t>
  </si>
  <si>
    <t>Amounts entered will populate Schedule 1 C.2</t>
  </si>
  <si>
    <t>Grant</t>
  </si>
  <si>
    <t>http://profiles.doe.mass.edu/statereport/enrollmentbygrade.aspx</t>
  </si>
  <si>
    <t>http://profiles.doe.mass.edu/statereport/selectedpopulations.aspx</t>
  </si>
  <si>
    <t>Total Headcount as of 10.1.20/21</t>
  </si>
  <si>
    <t>Student with disabilities as of 10.1.20/21</t>
  </si>
  <si>
    <t>LEA CODE</t>
  </si>
  <si>
    <t>DISTRICT</t>
  </si>
  <si>
    <t>22-23</t>
  </si>
  <si>
    <t>21-22</t>
  </si>
  <si>
    <t>001</t>
  </si>
  <si>
    <t xml:space="preserve">ABINGTON                     </t>
  </si>
  <si>
    <t>002</t>
  </si>
  <si>
    <t xml:space="preserve">ACTON                        </t>
  </si>
  <si>
    <t>003</t>
  </si>
  <si>
    <t xml:space="preserve">ACUSHNET                     </t>
  </si>
  <si>
    <t>004</t>
  </si>
  <si>
    <t xml:space="preserve">ADAMS                        </t>
  </si>
  <si>
    <t>005</t>
  </si>
  <si>
    <t xml:space="preserve">AGAWAM                       </t>
  </si>
  <si>
    <t>006</t>
  </si>
  <si>
    <t xml:space="preserve">ALFORD                       </t>
  </si>
  <si>
    <t>007</t>
  </si>
  <si>
    <t xml:space="preserve">AMESBURY                     </t>
  </si>
  <si>
    <t>008</t>
  </si>
  <si>
    <t xml:space="preserve">AMHERST                      </t>
  </si>
  <si>
    <t>009</t>
  </si>
  <si>
    <t xml:space="preserve">ANDOVER                      </t>
  </si>
  <si>
    <t xml:space="preserve">ARLINGTON                    </t>
  </si>
  <si>
    <t>011</t>
  </si>
  <si>
    <t xml:space="preserve">ASHBURNHAM                   </t>
  </si>
  <si>
    <t>012</t>
  </si>
  <si>
    <t xml:space="preserve">ASHBY                        </t>
  </si>
  <si>
    <t>013</t>
  </si>
  <si>
    <t xml:space="preserve">ASHFIELD                     </t>
  </si>
  <si>
    <t>014</t>
  </si>
  <si>
    <t xml:space="preserve">ASHLAND                      </t>
  </si>
  <si>
    <t>015</t>
  </si>
  <si>
    <t xml:space="preserve">ATHOL                        </t>
  </si>
  <si>
    <t>016</t>
  </si>
  <si>
    <t xml:space="preserve">ATTLEBORO                    </t>
  </si>
  <si>
    <t>017</t>
  </si>
  <si>
    <t xml:space="preserve">AUBURN                       </t>
  </si>
  <si>
    <t>018</t>
  </si>
  <si>
    <t xml:space="preserve">AVON                         </t>
  </si>
  <si>
    <t>019</t>
  </si>
  <si>
    <t xml:space="preserve">AYER                         </t>
  </si>
  <si>
    <t>020</t>
  </si>
  <si>
    <t xml:space="preserve">BARNSTABLE                   </t>
  </si>
  <si>
    <t>021</t>
  </si>
  <si>
    <t xml:space="preserve">BARRE                        </t>
  </si>
  <si>
    <t>022</t>
  </si>
  <si>
    <t xml:space="preserve">BECKET                       </t>
  </si>
  <si>
    <t>023</t>
  </si>
  <si>
    <t xml:space="preserve">BEDFORD                      </t>
  </si>
  <si>
    <t>024</t>
  </si>
  <si>
    <t xml:space="preserve">BELCHERTOWN                  </t>
  </si>
  <si>
    <t xml:space="preserve">BELLINGHAM                   </t>
  </si>
  <si>
    <t>026</t>
  </si>
  <si>
    <t xml:space="preserve">BELMONT                      </t>
  </si>
  <si>
    <t>027</t>
  </si>
  <si>
    <t xml:space="preserve">BERKLEY                      </t>
  </si>
  <si>
    <t>028</t>
  </si>
  <si>
    <t xml:space="preserve">BERLIN                       </t>
  </si>
  <si>
    <t>029</t>
  </si>
  <si>
    <t xml:space="preserve">BERNARDSTON                  </t>
  </si>
  <si>
    <t>030</t>
  </si>
  <si>
    <t xml:space="preserve">BEVERLY                      </t>
  </si>
  <si>
    <t>031</t>
  </si>
  <si>
    <t xml:space="preserve">BILLERICA                    </t>
  </si>
  <si>
    <t>032</t>
  </si>
  <si>
    <t xml:space="preserve">BLACKSTONE                   </t>
  </si>
  <si>
    <t>033</t>
  </si>
  <si>
    <t xml:space="preserve">BLANDFORD                    </t>
  </si>
  <si>
    <t>034</t>
  </si>
  <si>
    <t xml:space="preserve">BOLTON                       </t>
  </si>
  <si>
    <t>035</t>
  </si>
  <si>
    <t xml:space="preserve">BOSTON                       </t>
  </si>
  <si>
    <t>036</t>
  </si>
  <si>
    <t xml:space="preserve">BOURNE                       </t>
  </si>
  <si>
    <t>037</t>
  </si>
  <si>
    <t xml:space="preserve">BOXBOROUGH                   </t>
  </si>
  <si>
    <t>038</t>
  </si>
  <si>
    <t xml:space="preserve">BOXFORD                      </t>
  </si>
  <si>
    <t>039</t>
  </si>
  <si>
    <t xml:space="preserve">BOYLSTON                     </t>
  </si>
  <si>
    <t>040</t>
  </si>
  <si>
    <t xml:space="preserve">BRAINTREE                    </t>
  </si>
  <si>
    <t>041</t>
  </si>
  <si>
    <t xml:space="preserve">BREWSTER                     </t>
  </si>
  <si>
    <t>042</t>
  </si>
  <si>
    <t xml:space="preserve">BRIDGEWATER                  </t>
  </si>
  <si>
    <t>043</t>
  </si>
  <si>
    <t xml:space="preserve">BRIMFIELD                    </t>
  </si>
  <si>
    <t>044</t>
  </si>
  <si>
    <t xml:space="preserve">BROCKTON                     </t>
  </si>
  <si>
    <t>045</t>
  </si>
  <si>
    <t xml:space="preserve">BROOKFIELD                   </t>
  </si>
  <si>
    <t>046</t>
  </si>
  <si>
    <t xml:space="preserve">BROOKLINE                    </t>
  </si>
  <si>
    <t>047</t>
  </si>
  <si>
    <t xml:space="preserve">BUCKLAND                     </t>
  </si>
  <si>
    <t>048</t>
  </si>
  <si>
    <t xml:space="preserve">BURLINGTON                   </t>
  </si>
  <si>
    <t>049</t>
  </si>
  <si>
    <t xml:space="preserve">CAMBRIDGE                    </t>
  </si>
  <si>
    <t>050</t>
  </si>
  <si>
    <t xml:space="preserve">CANTON                       </t>
  </si>
  <si>
    <t>051</t>
  </si>
  <si>
    <t xml:space="preserve">CARLISLE                     </t>
  </si>
  <si>
    <t>052</t>
  </si>
  <si>
    <t xml:space="preserve">CARVER                       </t>
  </si>
  <si>
    <t>053</t>
  </si>
  <si>
    <t xml:space="preserve">CHARLEMONT                   </t>
  </si>
  <si>
    <t>054</t>
  </si>
  <si>
    <t xml:space="preserve">CHARLTON                     </t>
  </si>
  <si>
    <t>055</t>
  </si>
  <si>
    <t xml:space="preserve">CHATHAM                      </t>
  </si>
  <si>
    <t>056</t>
  </si>
  <si>
    <t xml:space="preserve">CHELMSFORD                   </t>
  </si>
  <si>
    <t>057</t>
  </si>
  <si>
    <t xml:space="preserve">CHELSEA                      </t>
  </si>
  <si>
    <t>058</t>
  </si>
  <si>
    <t xml:space="preserve">CHESHIRE                     </t>
  </si>
  <si>
    <t>059</t>
  </si>
  <si>
    <t xml:space="preserve">CHESTER                      </t>
  </si>
  <si>
    <t>060</t>
  </si>
  <si>
    <t xml:space="preserve">CHESTERFIELD                 </t>
  </si>
  <si>
    <t>061</t>
  </si>
  <si>
    <t xml:space="preserve">CHICOPEE                     </t>
  </si>
  <si>
    <t>062</t>
  </si>
  <si>
    <t xml:space="preserve">CHILMARK                     </t>
  </si>
  <si>
    <t>063</t>
  </si>
  <si>
    <t xml:space="preserve">CLARKSBURG                   </t>
  </si>
  <si>
    <t>064</t>
  </si>
  <si>
    <t xml:space="preserve">CLINTON                      </t>
  </si>
  <si>
    <t>065</t>
  </si>
  <si>
    <t xml:space="preserve">COHASSET                     </t>
  </si>
  <si>
    <t>066</t>
  </si>
  <si>
    <t xml:space="preserve">COLRAIN                      </t>
  </si>
  <si>
    <t>067</t>
  </si>
  <si>
    <t xml:space="preserve">CONCORD                      </t>
  </si>
  <si>
    <t>068</t>
  </si>
  <si>
    <t xml:space="preserve">CONWAY                       </t>
  </si>
  <si>
    <t>069</t>
  </si>
  <si>
    <t xml:space="preserve">CUMMINGTON                   </t>
  </si>
  <si>
    <t>070</t>
  </si>
  <si>
    <t xml:space="preserve">DALTON                       </t>
  </si>
  <si>
    <t>071</t>
  </si>
  <si>
    <t xml:space="preserve">DANVERS                      </t>
  </si>
  <si>
    <t>072</t>
  </si>
  <si>
    <t xml:space="preserve">DARTMOUTH                    </t>
  </si>
  <si>
    <t>073</t>
  </si>
  <si>
    <t xml:space="preserve">DEDHAM                       </t>
  </si>
  <si>
    <t>074</t>
  </si>
  <si>
    <t xml:space="preserve">DEERFIELD                    </t>
  </si>
  <si>
    <t>075</t>
  </si>
  <si>
    <t xml:space="preserve">DENNIS                       </t>
  </si>
  <si>
    <t>076</t>
  </si>
  <si>
    <t xml:space="preserve">DIGHTON                      </t>
  </si>
  <si>
    <t>077</t>
  </si>
  <si>
    <t xml:space="preserve">DOUGLAS                      </t>
  </si>
  <si>
    <t>078</t>
  </si>
  <si>
    <t xml:space="preserve">DOVER                        </t>
  </si>
  <si>
    <t>079</t>
  </si>
  <si>
    <t xml:space="preserve">DRACUT                       </t>
  </si>
  <si>
    <t>080</t>
  </si>
  <si>
    <t xml:space="preserve">DUDLEY                       </t>
  </si>
  <si>
    <t>081</t>
  </si>
  <si>
    <t xml:space="preserve">DUNSTABLE                    </t>
  </si>
  <si>
    <t>082</t>
  </si>
  <si>
    <t xml:space="preserve">DUXBURY                      </t>
  </si>
  <si>
    <t>083</t>
  </si>
  <si>
    <t xml:space="preserve">EAST BRIDGEWATER             </t>
  </si>
  <si>
    <t>084</t>
  </si>
  <si>
    <t xml:space="preserve">EAST BROOKFIELD              </t>
  </si>
  <si>
    <t>085</t>
  </si>
  <si>
    <t xml:space="preserve">EASTHAM                      </t>
  </si>
  <si>
    <t>086</t>
  </si>
  <si>
    <t xml:space="preserve">EASTHAMPTON                  </t>
  </si>
  <si>
    <t>087</t>
  </si>
  <si>
    <t xml:space="preserve">EAST LONGMEADOW              </t>
  </si>
  <si>
    <t>088</t>
  </si>
  <si>
    <t xml:space="preserve">EASTON                       </t>
  </si>
  <si>
    <t>089</t>
  </si>
  <si>
    <t xml:space="preserve">EDGARTOWN                    </t>
  </si>
  <si>
    <t>090</t>
  </si>
  <si>
    <t xml:space="preserve">EGREMONT                     </t>
  </si>
  <si>
    <t>091</t>
  </si>
  <si>
    <t xml:space="preserve">ERVING                       </t>
  </si>
  <si>
    <t>092</t>
  </si>
  <si>
    <t xml:space="preserve">ESSEX                        </t>
  </si>
  <si>
    <t>093</t>
  </si>
  <si>
    <t xml:space="preserve">EVERETT                      </t>
  </si>
  <si>
    <t>094</t>
  </si>
  <si>
    <t xml:space="preserve">FAIRHAVEN                    </t>
  </si>
  <si>
    <t>095</t>
  </si>
  <si>
    <t xml:space="preserve">FALL RIVER                   </t>
  </si>
  <si>
    <t>096</t>
  </si>
  <si>
    <t xml:space="preserve">FALMOUTH                     </t>
  </si>
  <si>
    <t>097</t>
  </si>
  <si>
    <t xml:space="preserve">FITCHBURG                    </t>
  </si>
  <si>
    <t>098</t>
  </si>
  <si>
    <t xml:space="preserve">FLORIDA                      </t>
  </si>
  <si>
    <t>099</t>
  </si>
  <si>
    <t xml:space="preserve">FOXBOROUGH                   </t>
  </si>
  <si>
    <t>100</t>
  </si>
  <si>
    <t xml:space="preserve">FRAMINGHAM                   </t>
  </si>
  <si>
    <t>101</t>
  </si>
  <si>
    <t xml:space="preserve">FRANKLIN                     </t>
  </si>
  <si>
    <t>102</t>
  </si>
  <si>
    <t xml:space="preserve">FREETOWN                     </t>
  </si>
  <si>
    <t>103</t>
  </si>
  <si>
    <t xml:space="preserve">GARDNER                      </t>
  </si>
  <si>
    <t>104</t>
  </si>
  <si>
    <t xml:space="preserve">GAY HEAD                     </t>
  </si>
  <si>
    <t>105</t>
  </si>
  <si>
    <t xml:space="preserve">GEORGETOWN                   </t>
  </si>
  <si>
    <t>106</t>
  </si>
  <si>
    <t xml:space="preserve">GILL                         </t>
  </si>
  <si>
    <t>107</t>
  </si>
  <si>
    <t xml:space="preserve">GLOUCESTER                   </t>
  </si>
  <si>
    <t>108</t>
  </si>
  <si>
    <t xml:space="preserve">GOSHEN                       </t>
  </si>
  <si>
    <t>109</t>
  </si>
  <si>
    <t xml:space="preserve">GOSNOLD                      </t>
  </si>
  <si>
    <t>110</t>
  </si>
  <si>
    <t xml:space="preserve">GRAFTON                      </t>
  </si>
  <si>
    <t>111</t>
  </si>
  <si>
    <t xml:space="preserve">GRANBY                       </t>
  </si>
  <si>
    <t>112</t>
  </si>
  <si>
    <t xml:space="preserve">GRANVILLE                    </t>
  </si>
  <si>
    <t>113</t>
  </si>
  <si>
    <t xml:space="preserve">GREAT BARRINGTON             </t>
  </si>
  <si>
    <t>114</t>
  </si>
  <si>
    <t xml:space="preserve">GREENFIELD                   </t>
  </si>
  <si>
    <t>115</t>
  </si>
  <si>
    <t xml:space="preserve">GROTON                       </t>
  </si>
  <si>
    <t>116</t>
  </si>
  <si>
    <t xml:space="preserve">GROVELAND                    </t>
  </si>
  <si>
    <t>117</t>
  </si>
  <si>
    <t xml:space="preserve">HADLEY                       </t>
  </si>
  <si>
    <t>118</t>
  </si>
  <si>
    <t xml:space="preserve">HALIFAX                      </t>
  </si>
  <si>
    <t>119</t>
  </si>
  <si>
    <t xml:space="preserve">HAMILTON                     </t>
  </si>
  <si>
    <t>120</t>
  </si>
  <si>
    <t xml:space="preserve">HAMPDEN                      </t>
  </si>
  <si>
    <t>121</t>
  </si>
  <si>
    <t xml:space="preserve">HANCOCK                      </t>
  </si>
  <si>
    <t>122</t>
  </si>
  <si>
    <t xml:space="preserve">HANOVER                      </t>
  </si>
  <si>
    <t>123</t>
  </si>
  <si>
    <t xml:space="preserve">HANSON                       </t>
  </si>
  <si>
    <t>124</t>
  </si>
  <si>
    <t xml:space="preserve">HARDWICK                     </t>
  </si>
  <si>
    <t>125</t>
  </si>
  <si>
    <t xml:space="preserve">HARVARD                      </t>
  </si>
  <si>
    <t>126</t>
  </si>
  <si>
    <t xml:space="preserve">HARWICH                      </t>
  </si>
  <si>
    <t>127</t>
  </si>
  <si>
    <t xml:space="preserve">HATFIELD                     </t>
  </si>
  <si>
    <t>128</t>
  </si>
  <si>
    <t xml:space="preserve">HAVERHILL                    </t>
  </si>
  <si>
    <t>129</t>
  </si>
  <si>
    <t xml:space="preserve">HAWLEY                       </t>
  </si>
  <si>
    <t>130</t>
  </si>
  <si>
    <t xml:space="preserve">HEATH                        </t>
  </si>
  <si>
    <t>131</t>
  </si>
  <si>
    <t xml:space="preserve">HINGHAM                      </t>
  </si>
  <si>
    <t>132</t>
  </si>
  <si>
    <t xml:space="preserve">HINSDALE                     </t>
  </si>
  <si>
    <t>133</t>
  </si>
  <si>
    <t xml:space="preserve">HOLBROOK                     </t>
  </si>
  <si>
    <t>134</t>
  </si>
  <si>
    <t xml:space="preserve">HOLDEN                       </t>
  </si>
  <si>
    <t>135</t>
  </si>
  <si>
    <t xml:space="preserve">HOLLAND                      </t>
  </si>
  <si>
    <t xml:space="preserve">HOLLISTON                    </t>
  </si>
  <si>
    <t>137</t>
  </si>
  <si>
    <t xml:space="preserve">HOLYOKE                      </t>
  </si>
  <si>
    <t>138</t>
  </si>
  <si>
    <t xml:space="preserve">HOPEDALE                     </t>
  </si>
  <si>
    <t xml:space="preserve">HOPKINTON                    </t>
  </si>
  <si>
    <t>140</t>
  </si>
  <si>
    <t xml:space="preserve">HUBBARDSTON                  </t>
  </si>
  <si>
    <t>141</t>
  </si>
  <si>
    <t xml:space="preserve">HUDSON                       </t>
  </si>
  <si>
    <t>142</t>
  </si>
  <si>
    <t xml:space="preserve">HULL                         </t>
  </si>
  <si>
    <t>143</t>
  </si>
  <si>
    <t xml:space="preserve">HUNTINGTON                   </t>
  </si>
  <si>
    <t xml:space="preserve">IPSWICH                      </t>
  </si>
  <si>
    <t>145</t>
  </si>
  <si>
    <t xml:space="preserve">KINGSTON                     </t>
  </si>
  <si>
    <t>146</t>
  </si>
  <si>
    <t xml:space="preserve">LAKEVILLE                    </t>
  </si>
  <si>
    <t>147</t>
  </si>
  <si>
    <t xml:space="preserve">LANCASTER                    </t>
  </si>
  <si>
    <t>148</t>
  </si>
  <si>
    <t xml:space="preserve">LANESBOROUGH                 </t>
  </si>
  <si>
    <t>149</t>
  </si>
  <si>
    <t xml:space="preserve">LAWRENCE                     </t>
  </si>
  <si>
    <t>150</t>
  </si>
  <si>
    <t xml:space="preserve">LEE                          </t>
  </si>
  <si>
    <t>151</t>
  </si>
  <si>
    <t xml:space="preserve">LEICESTER                    </t>
  </si>
  <si>
    <t>152</t>
  </si>
  <si>
    <t xml:space="preserve">LENOX                        </t>
  </si>
  <si>
    <t>153</t>
  </si>
  <si>
    <t xml:space="preserve">LEOMINSTER                   </t>
  </si>
  <si>
    <t>154</t>
  </si>
  <si>
    <t xml:space="preserve">LEVERETT                     </t>
  </si>
  <si>
    <t>155</t>
  </si>
  <si>
    <t xml:space="preserve">LEXINGTON                    </t>
  </si>
  <si>
    <t>156</t>
  </si>
  <si>
    <t xml:space="preserve">LEYDEN                       </t>
  </si>
  <si>
    <t>157</t>
  </si>
  <si>
    <t xml:space="preserve">LINCOLN                      </t>
  </si>
  <si>
    <t>158</t>
  </si>
  <si>
    <t xml:space="preserve">LITTLETON                    </t>
  </si>
  <si>
    <t>159</t>
  </si>
  <si>
    <t xml:space="preserve">LONGMEADOW                   </t>
  </si>
  <si>
    <t>160</t>
  </si>
  <si>
    <t xml:space="preserve">LOWELL                       </t>
  </si>
  <si>
    <t>161</t>
  </si>
  <si>
    <t xml:space="preserve">LUDLOW                       </t>
  </si>
  <si>
    <t xml:space="preserve">LUNENBURG                    </t>
  </si>
  <si>
    <t>163</t>
  </si>
  <si>
    <t xml:space="preserve">LYNN                         </t>
  </si>
  <si>
    <t>164</t>
  </si>
  <si>
    <t xml:space="preserve">LYNNFIELD                    </t>
  </si>
  <si>
    <t>165</t>
  </si>
  <si>
    <t xml:space="preserve">MALDEN                       </t>
  </si>
  <si>
    <t>166</t>
  </si>
  <si>
    <t xml:space="preserve">MANCHESTER                   </t>
  </si>
  <si>
    <t>167</t>
  </si>
  <si>
    <t xml:space="preserve">MANSFIELD                    </t>
  </si>
  <si>
    <t>168</t>
  </si>
  <si>
    <t xml:space="preserve">MARBLEHEAD                   </t>
  </si>
  <si>
    <t>169</t>
  </si>
  <si>
    <t xml:space="preserve">MARION                       </t>
  </si>
  <si>
    <t>170</t>
  </si>
  <si>
    <t xml:space="preserve">MARLBOROUGH                  </t>
  </si>
  <si>
    <t>171</t>
  </si>
  <si>
    <t xml:space="preserve">MARSHFIELD                   </t>
  </si>
  <si>
    <t>172</t>
  </si>
  <si>
    <t xml:space="preserve">MASHPEE                      </t>
  </si>
  <si>
    <t>173</t>
  </si>
  <si>
    <t xml:space="preserve">MATTAPOISETT                 </t>
  </si>
  <si>
    <t>174</t>
  </si>
  <si>
    <t xml:space="preserve">MAYNARD                      </t>
  </si>
  <si>
    <t>175</t>
  </si>
  <si>
    <t xml:space="preserve">MEDFIELD                     </t>
  </si>
  <si>
    <t>176</t>
  </si>
  <si>
    <t xml:space="preserve">MEDFORD                      </t>
  </si>
  <si>
    <t>177</t>
  </si>
  <si>
    <t xml:space="preserve">MEDWAY                       </t>
  </si>
  <si>
    <t>178</t>
  </si>
  <si>
    <t xml:space="preserve">MELROSE                      </t>
  </si>
  <si>
    <t>179</t>
  </si>
  <si>
    <t xml:space="preserve">MENDON                       </t>
  </si>
  <si>
    <t>180</t>
  </si>
  <si>
    <t xml:space="preserve">MERRIMAC                     </t>
  </si>
  <si>
    <t>181</t>
  </si>
  <si>
    <t xml:space="preserve">METHUEN                      </t>
  </si>
  <si>
    <t>182</t>
  </si>
  <si>
    <t xml:space="preserve">MIDDLEBOROUGH                </t>
  </si>
  <si>
    <t>183</t>
  </si>
  <si>
    <t xml:space="preserve">MIDDLEFIELD                  </t>
  </si>
  <si>
    <t>184</t>
  </si>
  <si>
    <t xml:space="preserve">MIDDLETON                    </t>
  </si>
  <si>
    <t>185</t>
  </si>
  <si>
    <t xml:space="preserve">MILFORD                      </t>
  </si>
  <si>
    <t>186</t>
  </si>
  <si>
    <t xml:space="preserve">MILLBURY                     </t>
  </si>
  <si>
    <t>187</t>
  </si>
  <si>
    <t xml:space="preserve">MILLIS                       </t>
  </si>
  <si>
    <t>188</t>
  </si>
  <si>
    <t xml:space="preserve">MILLVILLE                    </t>
  </si>
  <si>
    <t>189</t>
  </si>
  <si>
    <t xml:space="preserve">MILTON                       </t>
  </si>
  <si>
    <t>190</t>
  </si>
  <si>
    <t xml:space="preserve">MONROE                       </t>
  </si>
  <si>
    <t>191</t>
  </si>
  <si>
    <t xml:space="preserve">MONSON                       </t>
  </si>
  <si>
    <t>192</t>
  </si>
  <si>
    <t xml:space="preserve">MONTAGUE                     </t>
  </si>
  <si>
    <t>193</t>
  </si>
  <si>
    <t xml:space="preserve">MONTEREY                     </t>
  </si>
  <si>
    <t>194</t>
  </si>
  <si>
    <t xml:space="preserve">MONTGOMERY                   </t>
  </si>
  <si>
    <t>195</t>
  </si>
  <si>
    <t xml:space="preserve">MOUNT WASHINGTON             </t>
  </si>
  <si>
    <t>196</t>
  </si>
  <si>
    <t xml:space="preserve">NAHANT                       </t>
  </si>
  <si>
    <t>197</t>
  </si>
  <si>
    <t xml:space="preserve">NANTUCKET                    </t>
  </si>
  <si>
    <t>198</t>
  </si>
  <si>
    <t xml:space="preserve">NATICK                       </t>
  </si>
  <si>
    <t>199</t>
  </si>
  <si>
    <t xml:space="preserve">NEEDHAM                      </t>
  </si>
  <si>
    <t>200</t>
  </si>
  <si>
    <t xml:space="preserve">NEW ASHFORD                  </t>
  </si>
  <si>
    <t>201</t>
  </si>
  <si>
    <t xml:space="preserve">NEW BEDFORD                  </t>
  </si>
  <si>
    <t>202</t>
  </si>
  <si>
    <t xml:space="preserve">NEW BRAINTREE                </t>
  </si>
  <si>
    <t>203</t>
  </si>
  <si>
    <t xml:space="preserve">NEWBURY                      </t>
  </si>
  <si>
    <t>204</t>
  </si>
  <si>
    <t xml:space="preserve">NEWBURYPORT                  </t>
  </si>
  <si>
    <t>205</t>
  </si>
  <si>
    <t xml:space="preserve">NEW MARLBOROUGH              </t>
  </si>
  <si>
    <t>206</t>
  </si>
  <si>
    <t xml:space="preserve">NEW SALEM                    </t>
  </si>
  <si>
    <t>207</t>
  </si>
  <si>
    <t xml:space="preserve">NEWTON                       </t>
  </si>
  <si>
    <t>208</t>
  </si>
  <si>
    <t xml:space="preserve">NORFOLK                      </t>
  </si>
  <si>
    <t>209</t>
  </si>
  <si>
    <t xml:space="preserve">NORTH ADAMS                  </t>
  </si>
  <si>
    <t>210</t>
  </si>
  <si>
    <t xml:space="preserve">NORTHAMPTON                  </t>
  </si>
  <si>
    <t>211</t>
  </si>
  <si>
    <t xml:space="preserve">NORTH ANDOVER                </t>
  </si>
  <si>
    <t>212</t>
  </si>
  <si>
    <t xml:space="preserve">NORTH ATTLEBOROUGH           </t>
  </si>
  <si>
    <t>213</t>
  </si>
  <si>
    <t xml:space="preserve">NORTHBOROUGH                 </t>
  </si>
  <si>
    <t>214</t>
  </si>
  <si>
    <t xml:space="preserve">NORTHBRIDGE                  </t>
  </si>
  <si>
    <t>215</t>
  </si>
  <si>
    <t xml:space="preserve">NORTH BROOKFIELD             </t>
  </si>
  <si>
    <t>216</t>
  </si>
  <si>
    <t xml:space="preserve">NORTHFIELD                   </t>
  </si>
  <si>
    <t>217</t>
  </si>
  <si>
    <t xml:space="preserve">NORTH READING                </t>
  </si>
  <si>
    <t>218</t>
  </si>
  <si>
    <t xml:space="preserve">NORTON                       </t>
  </si>
  <si>
    <t>219</t>
  </si>
  <si>
    <t xml:space="preserve">NORWELL                      </t>
  </si>
  <si>
    <t>220</t>
  </si>
  <si>
    <t xml:space="preserve">NORWOOD                      </t>
  </si>
  <si>
    <t>221</t>
  </si>
  <si>
    <t xml:space="preserve">OAK BLUFFS                   </t>
  </si>
  <si>
    <t>222</t>
  </si>
  <si>
    <t xml:space="preserve">OAKHAM                       </t>
  </si>
  <si>
    <t>223</t>
  </si>
  <si>
    <t xml:space="preserve">ORANGE                       </t>
  </si>
  <si>
    <t>224</t>
  </si>
  <si>
    <t xml:space="preserve">ORLEANS                      </t>
  </si>
  <si>
    <t>225</t>
  </si>
  <si>
    <t xml:space="preserve">OTIS                         </t>
  </si>
  <si>
    <t>226</t>
  </si>
  <si>
    <t xml:space="preserve">OXFORD                       </t>
  </si>
  <si>
    <t>227</t>
  </si>
  <si>
    <t xml:space="preserve">PALMER                       </t>
  </si>
  <si>
    <t>228</t>
  </si>
  <si>
    <t xml:space="preserve">PAXTON                       </t>
  </si>
  <si>
    <t>229</t>
  </si>
  <si>
    <t xml:space="preserve">PEABODY                      </t>
  </si>
  <si>
    <t>230</t>
  </si>
  <si>
    <t xml:space="preserve">PELHAM                       </t>
  </si>
  <si>
    <t>231</t>
  </si>
  <si>
    <t xml:space="preserve">PEMBROKE                     </t>
  </si>
  <si>
    <t>232</t>
  </si>
  <si>
    <t xml:space="preserve">PEPPERELL                    </t>
  </si>
  <si>
    <t>233</t>
  </si>
  <si>
    <t xml:space="preserve">PERU                         </t>
  </si>
  <si>
    <t>234</t>
  </si>
  <si>
    <t xml:space="preserve">PETERSHAM                    </t>
  </si>
  <si>
    <t>235</t>
  </si>
  <si>
    <t xml:space="preserve">PHILLIPSTON                  </t>
  </si>
  <si>
    <t>236</t>
  </si>
  <si>
    <t xml:space="preserve">PITTSFIELD                   </t>
  </si>
  <si>
    <t>237</t>
  </si>
  <si>
    <t xml:space="preserve">PLAINFIELD                   </t>
  </si>
  <si>
    <t>238</t>
  </si>
  <si>
    <t xml:space="preserve">PLAINVILLE                   </t>
  </si>
  <si>
    <t>239</t>
  </si>
  <si>
    <t xml:space="preserve">PLYMOUTH                     </t>
  </si>
  <si>
    <t>240</t>
  </si>
  <si>
    <t xml:space="preserve">PLYMPTON                     </t>
  </si>
  <si>
    <t>241</t>
  </si>
  <si>
    <t xml:space="preserve">PRINCETON                    </t>
  </si>
  <si>
    <t>242</t>
  </si>
  <si>
    <t xml:space="preserve">PROVINCETOWN                 </t>
  </si>
  <si>
    <t>243</t>
  </si>
  <si>
    <t xml:space="preserve">QUINCY                       </t>
  </si>
  <si>
    <t>244</t>
  </si>
  <si>
    <t xml:space="preserve">RANDOLPH                     </t>
  </si>
  <si>
    <t>245</t>
  </si>
  <si>
    <t xml:space="preserve">RAYNHAM                      </t>
  </si>
  <si>
    <t>246</t>
  </si>
  <si>
    <t xml:space="preserve">READING                      </t>
  </si>
  <si>
    <t>247</t>
  </si>
  <si>
    <t xml:space="preserve">REHOBOTH                     </t>
  </si>
  <si>
    <t>248</t>
  </si>
  <si>
    <t xml:space="preserve">REVERE                       </t>
  </si>
  <si>
    <t>249</t>
  </si>
  <si>
    <t xml:space="preserve">RICHMOND                     </t>
  </si>
  <si>
    <t>250</t>
  </si>
  <si>
    <t xml:space="preserve">ROCHESTER                    </t>
  </si>
  <si>
    <t>251</t>
  </si>
  <si>
    <t xml:space="preserve">ROCKLAND                     </t>
  </si>
  <si>
    <t>252</t>
  </si>
  <si>
    <t xml:space="preserve">ROCKPORT                     </t>
  </si>
  <si>
    <t>253</t>
  </si>
  <si>
    <t xml:space="preserve">ROWE                         </t>
  </si>
  <si>
    <t>254</t>
  </si>
  <si>
    <t xml:space="preserve">ROWLEY                       </t>
  </si>
  <si>
    <t>255</t>
  </si>
  <si>
    <t xml:space="preserve">ROYALSTON                    </t>
  </si>
  <si>
    <t>256</t>
  </si>
  <si>
    <t xml:space="preserve">RUSSELL                      </t>
  </si>
  <si>
    <t>257</t>
  </si>
  <si>
    <t xml:space="preserve">RUTLAND                      </t>
  </si>
  <si>
    <t>258</t>
  </si>
  <si>
    <t xml:space="preserve">SALEM                        </t>
  </si>
  <si>
    <t>259</t>
  </si>
  <si>
    <t xml:space="preserve">SALISBURY                    </t>
  </si>
  <si>
    <t>260</t>
  </si>
  <si>
    <t xml:space="preserve">SANDISFIELD                  </t>
  </si>
  <si>
    <t>261</t>
  </si>
  <si>
    <t xml:space="preserve">SANDWICH                     </t>
  </si>
  <si>
    <t>262</t>
  </si>
  <si>
    <t xml:space="preserve">SAUGUS                       </t>
  </si>
  <si>
    <t>263</t>
  </si>
  <si>
    <t xml:space="preserve">SAVOY                        </t>
  </si>
  <si>
    <t>264</t>
  </si>
  <si>
    <t xml:space="preserve">SCITUATE                     </t>
  </si>
  <si>
    <t>265</t>
  </si>
  <si>
    <t xml:space="preserve">SEEKONK                      </t>
  </si>
  <si>
    <t>266</t>
  </si>
  <si>
    <t xml:space="preserve">SHARON                       </t>
  </si>
  <si>
    <t>267</t>
  </si>
  <si>
    <t xml:space="preserve">SHEFFIELD                    </t>
  </si>
  <si>
    <t>268</t>
  </si>
  <si>
    <t xml:space="preserve">SHELBURNE                    </t>
  </si>
  <si>
    <t>269</t>
  </si>
  <si>
    <t xml:space="preserve">SHERBORN                     </t>
  </si>
  <si>
    <t>270</t>
  </si>
  <si>
    <t xml:space="preserve">SHIRLEY                      </t>
  </si>
  <si>
    <t>271</t>
  </si>
  <si>
    <t xml:space="preserve">SHREWSBURY                   </t>
  </si>
  <si>
    <t>272</t>
  </si>
  <si>
    <t xml:space="preserve">SHUTESBURY                   </t>
  </si>
  <si>
    <t>273</t>
  </si>
  <si>
    <t xml:space="preserve">SOMERSET                     </t>
  </si>
  <si>
    <t>274</t>
  </si>
  <si>
    <t xml:space="preserve">SOMERVILLE                   </t>
  </si>
  <si>
    <t>275</t>
  </si>
  <si>
    <t xml:space="preserve">SOUTHAMPTON                  </t>
  </si>
  <si>
    <t>276</t>
  </si>
  <si>
    <t xml:space="preserve">SOUTHBOROUGH                 </t>
  </si>
  <si>
    <t>277</t>
  </si>
  <si>
    <t xml:space="preserve">SOUTHBRIDGE                  </t>
  </si>
  <si>
    <t>278</t>
  </si>
  <si>
    <t xml:space="preserve">SOUTH HADLEY                 </t>
  </si>
  <si>
    <t>279</t>
  </si>
  <si>
    <t xml:space="preserve">SOUTHWICK                    </t>
  </si>
  <si>
    <t>280</t>
  </si>
  <si>
    <t xml:space="preserve">SPENCER                      </t>
  </si>
  <si>
    <t>281</t>
  </si>
  <si>
    <t xml:space="preserve">SPRINGFIELD                  </t>
  </si>
  <si>
    <t>282</t>
  </si>
  <si>
    <t xml:space="preserve">STERLING                     </t>
  </si>
  <si>
    <t>283</t>
  </si>
  <si>
    <t xml:space="preserve">STOCKBRIDGE                  </t>
  </si>
  <si>
    <t>284</t>
  </si>
  <si>
    <t xml:space="preserve">STONEHAM                     </t>
  </si>
  <si>
    <t>285</t>
  </si>
  <si>
    <t xml:space="preserve">STOUGHTON                    </t>
  </si>
  <si>
    <t>286</t>
  </si>
  <si>
    <t xml:space="preserve">STOW                         </t>
  </si>
  <si>
    <t>287</t>
  </si>
  <si>
    <t xml:space="preserve">STURBRIDGE                   </t>
  </si>
  <si>
    <t>288</t>
  </si>
  <si>
    <t xml:space="preserve">SUDBURY                      </t>
  </si>
  <si>
    <t>289</t>
  </si>
  <si>
    <t xml:space="preserve">SUNDERLAND                   </t>
  </si>
  <si>
    <t>290</t>
  </si>
  <si>
    <t xml:space="preserve">SUTTON                       </t>
  </si>
  <si>
    <t>291</t>
  </si>
  <si>
    <t xml:space="preserve">SWAMPSCOTT                   </t>
  </si>
  <si>
    <t>292</t>
  </si>
  <si>
    <t xml:space="preserve">SWANSEA                      </t>
  </si>
  <si>
    <t>293</t>
  </si>
  <si>
    <t xml:space="preserve">TAUNTON                      </t>
  </si>
  <si>
    <t>294</t>
  </si>
  <si>
    <t xml:space="preserve">TEMPLETON                    </t>
  </si>
  <si>
    <t>295</t>
  </si>
  <si>
    <t xml:space="preserve">TEWKSBURY                    </t>
  </si>
  <si>
    <t>296</t>
  </si>
  <si>
    <t xml:space="preserve">TISBURY                      </t>
  </si>
  <si>
    <t>297</t>
  </si>
  <si>
    <t xml:space="preserve">TOLLAND                      </t>
  </si>
  <si>
    <t>298</t>
  </si>
  <si>
    <t xml:space="preserve">TOPSFIELD                    </t>
  </si>
  <si>
    <t>299</t>
  </si>
  <si>
    <t xml:space="preserve">TOWNSEND                     </t>
  </si>
  <si>
    <t>300</t>
  </si>
  <si>
    <t xml:space="preserve">TRURO                        </t>
  </si>
  <si>
    <t>301</t>
  </si>
  <si>
    <t xml:space="preserve">TYNGSBOROUGH                 </t>
  </si>
  <si>
    <t>302</t>
  </si>
  <si>
    <t xml:space="preserve">TYRINGHAM                    </t>
  </si>
  <si>
    <t>303</t>
  </si>
  <si>
    <t xml:space="preserve">UPTON                        </t>
  </si>
  <si>
    <t>304</t>
  </si>
  <si>
    <t xml:space="preserve">UXBRIDGE                     </t>
  </si>
  <si>
    <t xml:space="preserve">WAKEFIELD                    </t>
  </si>
  <si>
    <t>306</t>
  </si>
  <si>
    <t xml:space="preserve">WALES                        </t>
  </si>
  <si>
    <t>307</t>
  </si>
  <si>
    <t xml:space="preserve">WALPOLE                      </t>
  </si>
  <si>
    <t>308</t>
  </si>
  <si>
    <t xml:space="preserve">WALTHAM                      </t>
  </si>
  <si>
    <t>309</t>
  </si>
  <si>
    <t xml:space="preserve">WARE                         </t>
  </si>
  <si>
    <t>310</t>
  </si>
  <si>
    <t xml:space="preserve">WAREHAM                      </t>
  </si>
  <si>
    <t>311</t>
  </si>
  <si>
    <t xml:space="preserve">WARREN                       </t>
  </si>
  <si>
    <t>312</t>
  </si>
  <si>
    <t xml:space="preserve">WARWICK                      </t>
  </si>
  <si>
    <t>313</t>
  </si>
  <si>
    <t xml:space="preserve">WASHINGTON                   </t>
  </si>
  <si>
    <t>314</t>
  </si>
  <si>
    <t xml:space="preserve">WATERTOWN                    </t>
  </si>
  <si>
    <t>315</t>
  </si>
  <si>
    <t xml:space="preserve">WAYLAND                      </t>
  </si>
  <si>
    <t>316</t>
  </si>
  <si>
    <t xml:space="preserve">WEBSTER                      </t>
  </si>
  <si>
    <t>317</t>
  </si>
  <si>
    <t xml:space="preserve">WELLESLEY                    </t>
  </si>
  <si>
    <t>318</t>
  </si>
  <si>
    <t xml:space="preserve">WELLFLEET                    </t>
  </si>
  <si>
    <t>319</t>
  </si>
  <si>
    <t xml:space="preserve">WENDELL                      </t>
  </si>
  <si>
    <t>320</t>
  </si>
  <si>
    <t xml:space="preserve">WENHAM                       </t>
  </si>
  <si>
    <t>321</t>
  </si>
  <si>
    <t xml:space="preserve">WESTBOROUGH                  </t>
  </si>
  <si>
    <t>322</t>
  </si>
  <si>
    <t xml:space="preserve">WEST BOYLSTON                </t>
  </si>
  <si>
    <t>323</t>
  </si>
  <si>
    <t xml:space="preserve">WEST BRIDGEWATER             </t>
  </si>
  <si>
    <t>324</t>
  </si>
  <si>
    <t xml:space="preserve">WEST BROOKFIELD              </t>
  </si>
  <si>
    <t>325</t>
  </si>
  <si>
    <t xml:space="preserve">WESTFIELD                    </t>
  </si>
  <si>
    <t>326</t>
  </si>
  <si>
    <t xml:space="preserve">WESTFORD                     </t>
  </si>
  <si>
    <t>327</t>
  </si>
  <si>
    <t xml:space="preserve">WESTHAMPTON                  </t>
  </si>
  <si>
    <t>328</t>
  </si>
  <si>
    <t xml:space="preserve">WESTMINSTER                  </t>
  </si>
  <si>
    <t>329</t>
  </si>
  <si>
    <t xml:space="preserve">WEST NEWBURY                 </t>
  </si>
  <si>
    <t>330</t>
  </si>
  <si>
    <t xml:space="preserve">WESTON                       </t>
  </si>
  <si>
    <t>331</t>
  </si>
  <si>
    <t xml:space="preserve">WESTPORT                     </t>
  </si>
  <si>
    <t>332</t>
  </si>
  <si>
    <t xml:space="preserve">WEST SPRINGFIELD             </t>
  </si>
  <si>
    <t>333</t>
  </si>
  <si>
    <t xml:space="preserve">WEST STOCKBRIDGE             </t>
  </si>
  <si>
    <t>334</t>
  </si>
  <si>
    <t xml:space="preserve">WEST TISBURY                 </t>
  </si>
  <si>
    <t>335</t>
  </si>
  <si>
    <t xml:space="preserve">WESTWOOD                     </t>
  </si>
  <si>
    <t>336</t>
  </si>
  <si>
    <t xml:space="preserve">WEYMOUTH                     </t>
  </si>
  <si>
    <t>337</t>
  </si>
  <si>
    <t xml:space="preserve">WHATELY                      </t>
  </si>
  <si>
    <t>338</t>
  </si>
  <si>
    <t xml:space="preserve">WHITMAN                      </t>
  </si>
  <si>
    <t>339</t>
  </si>
  <si>
    <t xml:space="preserve">WILBRAHAM                    </t>
  </si>
  <si>
    <t>340</t>
  </si>
  <si>
    <t xml:space="preserve">WILLIAMSBURG                 </t>
  </si>
  <si>
    <t xml:space="preserve">WILLIAMSTOWN                 </t>
  </si>
  <si>
    <t>342</t>
  </si>
  <si>
    <t xml:space="preserve">WILMINGTON                   </t>
  </si>
  <si>
    <t>343</t>
  </si>
  <si>
    <t xml:space="preserve">WINCHENDON                   </t>
  </si>
  <si>
    <t>344</t>
  </si>
  <si>
    <t xml:space="preserve">WINCHESTER                   </t>
  </si>
  <si>
    <t>345</t>
  </si>
  <si>
    <t xml:space="preserve">WINDSOR                      </t>
  </si>
  <si>
    <t>346</t>
  </si>
  <si>
    <t xml:space="preserve">WINTHROP                     </t>
  </si>
  <si>
    <t>347</t>
  </si>
  <si>
    <t>WOBURN</t>
  </si>
  <si>
    <t xml:space="preserve">WORCESTER                    </t>
  </si>
  <si>
    <t>349</t>
  </si>
  <si>
    <t xml:space="preserve">WORTHINGTON                  </t>
  </si>
  <si>
    <t>350</t>
  </si>
  <si>
    <t xml:space="preserve">WRENTHAM                     </t>
  </si>
  <si>
    <t>351</t>
  </si>
  <si>
    <t xml:space="preserve">YARMOUTH                     </t>
  </si>
  <si>
    <t>352</t>
  </si>
  <si>
    <t>DEVENS</t>
  </si>
  <si>
    <t>406</t>
  </si>
  <si>
    <t xml:space="preserve">NORTHAMPTON SMITH            </t>
  </si>
  <si>
    <t>600</t>
  </si>
  <si>
    <t xml:space="preserve">ACTON BOXBOROUGH             </t>
  </si>
  <si>
    <t>603</t>
  </si>
  <si>
    <t xml:space="preserve">ADAMS CHESHIRE               </t>
  </si>
  <si>
    <t>605</t>
  </si>
  <si>
    <t xml:space="preserve">AMHERST PELHAM               </t>
  </si>
  <si>
    <t>610</t>
  </si>
  <si>
    <t xml:space="preserve">ASHBURNHAM WESTMINSTER       </t>
  </si>
  <si>
    <t xml:space="preserve">ATHOL ROYALSTON              </t>
  </si>
  <si>
    <t>616</t>
  </si>
  <si>
    <t>AYER SHIRLEY</t>
  </si>
  <si>
    <t>618</t>
  </si>
  <si>
    <t xml:space="preserve">BERKSHIRE HILLS              </t>
  </si>
  <si>
    <t>620</t>
  </si>
  <si>
    <t xml:space="preserve">BERLIN BOYLSTON              </t>
  </si>
  <si>
    <t>622</t>
  </si>
  <si>
    <t xml:space="preserve">BLACKSTONE MILLVILLE         </t>
  </si>
  <si>
    <t>625</t>
  </si>
  <si>
    <t xml:space="preserve">BRIDGEWATER RAYNHAM          </t>
  </si>
  <si>
    <t>632</t>
  </si>
  <si>
    <t>CHESTERFIELD GOSHEN</t>
  </si>
  <si>
    <t>635</t>
  </si>
  <si>
    <t xml:space="preserve">CENTRAL BERKSHIRE            </t>
  </si>
  <si>
    <t>640</t>
  </si>
  <si>
    <t xml:space="preserve">CONCORD CARLISLE             </t>
  </si>
  <si>
    <t>645</t>
  </si>
  <si>
    <t xml:space="preserve">DENNIS YARMOUTH              </t>
  </si>
  <si>
    <t>650</t>
  </si>
  <si>
    <t xml:space="preserve">DIGHTON REHOBOTH             </t>
  </si>
  <si>
    <t>655</t>
  </si>
  <si>
    <t xml:space="preserve">DOVER SHERBORN               </t>
  </si>
  <si>
    <t>658</t>
  </si>
  <si>
    <t xml:space="preserve">DUDLEY CHARLTON              </t>
  </si>
  <si>
    <t>660</t>
  </si>
  <si>
    <t xml:space="preserve">NAUSET                       </t>
  </si>
  <si>
    <t>662</t>
  </si>
  <si>
    <t>FARMINGTON RIVER</t>
  </si>
  <si>
    <t>665</t>
  </si>
  <si>
    <t xml:space="preserve">FREETOWN LAKEVILLE           </t>
  </si>
  <si>
    <t>670</t>
  </si>
  <si>
    <t xml:space="preserve">FRONTIER                     </t>
  </si>
  <si>
    <t>672</t>
  </si>
  <si>
    <t xml:space="preserve">GATEWAY                      </t>
  </si>
  <si>
    <t>673</t>
  </si>
  <si>
    <t xml:space="preserve">GROTON DUNSTABLE             </t>
  </si>
  <si>
    <t>674</t>
  </si>
  <si>
    <t xml:space="preserve">GILL MONTAGUE                </t>
  </si>
  <si>
    <t xml:space="preserve">HAMILTON WENHAM              </t>
  </si>
  <si>
    <t>680</t>
  </si>
  <si>
    <t xml:space="preserve">HAMPDEN WILBRAHAM            </t>
  </si>
  <si>
    <t>683</t>
  </si>
  <si>
    <t xml:space="preserve">HAMPSHIRE                    </t>
  </si>
  <si>
    <t>685</t>
  </si>
  <si>
    <t xml:space="preserve">HAWLEMONT                    </t>
  </si>
  <si>
    <t>690</t>
  </si>
  <si>
    <t xml:space="preserve">KING PHILIP                  </t>
  </si>
  <si>
    <t>695</t>
  </si>
  <si>
    <t xml:space="preserve">LINCOLN SUDBURY              </t>
  </si>
  <si>
    <t>MANCHESTER ESSEX</t>
  </si>
  <si>
    <t>700</t>
  </si>
  <si>
    <t xml:space="preserve">MARTHAS VINEYARD             </t>
  </si>
  <si>
    <t>705</t>
  </si>
  <si>
    <t xml:space="preserve">MASCONOMET                   </t>
  </si>
  <si>
    <t>710</t>
  </si>
  <si>
    <t xml:space="preserve">MENDON UPTON                 </t>
  </si>
  <si>
    <t>712</t>
  </si>
  <si>
    <t>MONOMOY</t>
  </si>
  <si>
    <t>715</t>
  </si>
  <si>
    <t xml:space="preserve">MOUNT GREYLOCK               </t>
  </si>
  <si>
    <t>717</t>
  </si>
  <si>
    <t xml:space="preserve">MOHAWK TRAIL                 </t>
  </si>
  <si>
    <t>720</t>
  </si>
  <si>
    <t xml:space="preserve">NARRAGANSETT                 </t>
  </si>
  <si>
    <t>725</t>
  </si>
  <si>
    <t xml:space="preserve">NASHOBA                      </t>
  </si>
  <si>
    <t>728</t>
  </si>
  <si>
    <t xml:space="preserve">NEW SALEM WENDELL            </t>
  </si>
  <si>
    <t>730</t>
  </si>
  <si>
    <t xml:space="preserve">NORTHBORO SOUTHBORO          </t>
  </si>
  <si>
    <t>735</t>
  </si>
  <si>
    <t xml:space="preserve">NORTH MIDDLESEX              </t>
  </si>
  <si>
    <t>740</t>
  </si>
  <si>
    <t xml:space="preserve">OLD ROCHESTER                </t>
  </si>
  <si>
    <t>745</t>
  </si>
  <si>
    <t xml:space="preserve">PENTUCKET                    </t>
  </si>
  <si>
    <t>750</t>
  </si>
  <si>
    <t xml:space="preserve">PIONEER                      </t>
  </si>
  <si>
    <t>753</t>
  </si>
  <si>
    <t xml:space="preserve">QUABBIN                      </t>
  </si>
  <si>
    <t>755</t>
  </si>
  <si>
    <t xml:space="preserve">RALPH C MAHAR                </t>
  </si>
  <si>
    <t>760</t>
  </si>
  <si>
    <t xml:space="preserve">SILVER LAKE                  </t>
  </si>
  <si>
    <t>763</t>
  </si>
  <si>
    <t>SOMERSET BERKLEY</t>
  </si>
  <si>
    <t>765</t>
  </si>
  <si>
    <t xml:space="preserve">SOUTHERN BERKSHIRE           </t>
  </si>
  <si>
    <t>766</t>
  </si>
  <si>
    <t>SOUTHWICK TOLLAND GRANVILLE</t>
  </si>
  <si>
    <t>767</t>
  </si>
  <si>
    <t xml:space="preserve">SPENCER EAST BROOKFIELD      </t>
  </si>
  <si>
    <t>770</t>
  </si>
  <si>
    <t xml:space="preserve">TANTASQUA                    </t>
  </si>
  <si>
    <t>773</t>
  </si>
  <si>
    <t xml:space="preserve">TRITON                       </t>
  </si>
  <si>
    <t>774</t>
  </si>
  <si>
    <t>UPISLAND</t>
  </si>
  <si>
    <t>775</t>
  </si>
  <si>
    <t xml:space="preserve">WACHUSETT                    </t>
  </si>
  <si>
    <t>778</t>
  </si>
  <si>
    <t>QUABOAG</t>
  </si>
  <si>
    <t>780</t>
  </si>
  <si>
    <t xml:space="preserve">WHITMAN HANSON               </t>
  </si>
  <si>
    <t>801</t>
  </si>
  <si>
    <t xml:space="preserve">ASSABET VALLEY               </t>
  </si>
  <si>
    <t>805</t>
  </si>
  <si>
    <t xml:space="preserve">BLACKSTONE VALLEY            </t>
  </si>
  <si>
    <t>806</t>
  </si>
  <si>
    <t xml:space="preserve">BLUE HILLS                   </t>
  </si>
  <si>
    <t>810</t>
  </si>
  <si>
    <t xml:space="preserve">BRISTOL PLYMOUTH             </t>
  </si>
  <si>
    <t>815</t>
  </si>
  <si>
    <t xml:space="preserve">CAPE COD                     </t>
  </si>
  <si>
    <t>817</t>
  </si>
  <si>
    <t>ESSEX NORTH SHORE</t>
  </si>
  <si>
    <t>818</t>
  </si>
  <si>
    <t xml:space="preserve">FRANKLIN COUNTY              </t>
  </si>
  <si>
    <t>821</t>
  </si>
  <si>
    <t xml:space="preserve">GREATER FALL RIVER           </t>
  </si>
  <si>
    <t>823</t>
  </si>
  <si>
    <t xml:space="preserve">GREATER LAWRENCE             </t>
  </si>
  <si>
    <t>825</t>
  </si>
  <si>
    <t xml:space="preserve">GREATER NEW BEDFORD          </t>
  </si>
  <si>
    <t>828</t>
  </si>
  <si>
    <t xml:space="preserve">GREATER LOWELL               </t>
  </si>
  <si>
    <t>829</t>
  </si>
  <si>
    <t xml:space="preserve">SOUTH MIDDLESEX              </t>
  </si>
  <si>
    <t>830</t>
  </si>
  <si>
    <t xml:space="preserve">MINUTEMAN                    </t>
  </si>
  <si>
    <t>832</t>
  </si>
  <si>
    <t xml:space="preserve">MONTACHUSETT                 </t>
  </si>
  <si>
    <t>851</t>
  </si>
  <si>
    <t xml:space="preserve">NORTHERN BERKSHIRE           </t>
  </si>
  <si>
    <t>852</t>
  </si>
  <si>
    <t xml:space="preserve">NASHOBA VALLEY               </t>
  </si>
  <si>
    <t>853</t>
  </si>
  <si>
    <t xml:space="preserve">NORTHEAST METROPOLITAN       </t>
  </si>
  <si>
    <t>855</t>
  </si>
  <si>
    <t xml:space="preserve">OLD COLONY                   </t>
  </si>
  <si>
    <t>860</t>
  </si>
  <si>
    <t xml:space="preserve">PATHFINDER                   </t>
  </si>
  <si>
    <t>871</t>
  </si>
  <si>
    <t xml:space="preserve">SHAWSHEEN VALLEY             </t>
  </si>
  <si>
    <t>872</t>
  </si>
  <si>
    <t xml:space="preserve">SOUTHEASTERN                 </t>
  </si>
  <si>
    <t>873</t>
  </si>
  <si>
    <t xml:space="preserve">SOUTH SHORE                  </t>
  </si>
  <si>
    <t>876</t>
  </si>
  <si>
    <t xml:space="preserve">SOUTHERN WORCESTER           </t>
  </si>
  <si>
    <t>878</t>
  </si>
  <si>
    <t xml:space="preserve">TRI COUNTY                   </t>
  </si>
  <si>
    <t>879</t>
  </si>
  <si>
    <t xml:space="preserve">UPPER CAPE COD               </t>
  </si>
  <si>
    <t>885</t>
  </si>
  <si>
    <t xml:space="preserve">WHITTIER                     </t>
  </si>
  <si>
    <t>910</t>
  </si>
  <si>
    <t xml:space="preserve">BRISTOL COUNTY               </t>
  </si>
  <si>
    <t>915</t>
  </si>
  <si>
    <t xml:space="preserve">NORFOLK COUNTY               </t>
  </si>
  <si>
    <r>
      <t xml:space="preserve">Excess Cost Calculator  34 CFR </t>
    </r>
    <r>
      <rPr>
        <b/>
        <sz val="22"/>
        <color indexed="8"/>
        <rFont val="Calibri"/>
        <family val="2"/>
      </rPr>
      <t>§300.16</t>
    </r>
    <r>
      <rPr>
        <b/>
        <sz val="22"/>
        <color indexed="8"/>
        <rFont val="Calibri"/>
        <family val="2"/>
      </rPr>
      <t xml:space="preserve">  </t>
    </r>
  </si>
  <si>
    <t xml:space="preserve">Introduction
Local educational agencies (districts) receiving a federal grant under the Individuals with Disabilities Education Act (IDEA) Part B sections 611 (Fund Code 240) and 619 (Fund Code 262)  funds are required to follow certain requirements when accepting the federal IDEA funds; one requirement is the calculation and use of IDEA Part B section 611 and 619 funds for excess costs.
Definition
Excess costs are those costs for the education of elementary school or secondary school students with disabilities that are in excess of the aggregated average annual per -pupil expenditure in a district during the preceding school year. A district must spend at least a minimum average amount on the education of elementary school or secondary school children with disabilities, calculated separately, before (or concurrently with, see note below) IDEA Part B section 611 and 619 funds can be used to pay for the excess costs of providing special education and related services.
Compliance
Excess cost must be calculated by the beginning of each school year to determine the minimum amount an LEA must spend for the education of students with disabilities before they use IDEA Part B section 611 and 619  funds. The district must maintain accurate records and meet the excess cost requirements by: calculating average cost per student for elementary and secondary school students separately (see note below re: distinguishing elementary and secondary expenses), spending at least the minimum average amount per student with a disability before (or concurrently with, see note below) using IDEA Part B section 611 and 619  funds, and ensure that the excess costs are specific to special education needs and allowable under IDEA Part B section 611 and 619 grant requirements. If a district  determines that they will not or have not met the excess cost requirements, they must notify the Massachusetts Department Elementary and Secondary Education (DESE) and will be subject to repayment of IDEA Part B section 611 and 619 federal funds.  The district should maintain all supporting documentation for its calculation of excess cost for  future follow up by the Audit and Compliance unit. 
Note: The United States Department of Education, Office of Special Education Programs (OSEP) has determined that the LEA does not need to expend the aggregated average per pupil expenditure prior to expending its IDEA Part B section 611 and 619 funds; as long as the LEA expends at least the required amount by the end of the school year, it can expend IDEA Part B section 611 and 619 funds concurrently with its general educational funds. 
See OSEP: Letter to Kennedy and OSEP: Letter to Plagata-Neubauer.
Exceptions
If no local or state funds are available for non-disabled children ages 3-5 and 18-21, then the excess cost requirement does not apply to students with disabilities in those age ranges. The district must however comply with the non-supplanting and other requirements for providing the education and services to those students with disabilities.
Calculating Excess Cost 
DESE has created the Excess Cost Calculator (below) for district to use to calculate the minimum amount of funds to be spent in FY23 for elementary and secondary school students before (or concurrently with) using IDEA Part B section 611 and 619 funds.
Federal Guidance:  Excess Cost Requirements: 34 CFR 300.16; Use of Amounts: 34 CFR 300.202(a)(b); Excess Costs Calculation: 34 CFR Appendix A to Part 300; Office of Special Education Programs (OSEP): Letter to Kennedy and Letter to Plagata-Neubauer. 
</t>
  </si>
  <si>
    <t xml:space="preserve">Helpful Links </t>
  </si>
  <si>
    <t>Letter to Kennedy</t>
  </si>
  <si>
    <t>Letter to Plagata-Neubauer</t>
  </si>
  <si>
    <t>34 CFR 300.16</t>
  </si>
  <si>
    <t>34 CFR 300.202(a)(b)</t>
  </si>
  <si>
    <t>34 CFR Appendix A to Part 300</t>
  </si>
  <si>
    <r>
      <t xml:space="preserve">
</t>
    </r>
    <r>
      <rPr>
        <b/>
        <sz val="13"/>
        <rFont val="Calibri"/>
        <family val="2"/>
      </rPr>
      <t xml:space="preserve">Distinguishing elementary and secondary students </t>
    </r>
    <r>
      <rPr>
        <sz val="12"/>
        <rFont val="Calibri"/>
        <family val="2"/>
      </rPr>
      <t xml:space="preserve">
The calculator should be completed with requested expenditure and enrollment information for all students in grades K-12 (</t>
    </r>
    <r>
      <rPr>
        <b/>
        <i/>
        <sz val="12"/>
        <rFont val="Calibri"/>
        <family val="2"/>
      </rPr>
      <t xml:space="preserve">not </t>
    </r>
    <r>
      <rPr>
        <sz val="12"/>
        <rFont val="Calibri"/>
        <family val="2"/>
      </rPr>
      <t xml:space="preserve">pre-kindergarten), divided into elementary and secondary categories.  
Massachusetts student learning time regulations define an </t>
    </r>
    <r>
      <rPr>
        <b/>
        <sz val="12"/>
        <rFont val="Calibri"/>
        <family val="2"/>
      </rPr>
      <t>elementary school</t>
    </r>
    <r>
      <rPr>
        <sz val="12"/>
        <rFont val="Calibri"/>
        <family val="2"/>
      </rPr>
      <t xml:space="preserve"> as a school providing instruction to grades 1 through 5, 6, 7, or 8, and, where so designated by a school committee prior to the commencement of a school year, may also include a middle school or other intermediate level school providing instruction to grades 5 through 8 or any combination thereof.  
A </t>
    </r>
    <r>
      <rPr>
        <b/>
        <sz val="12"/>
        <rFont val="Calibri"/>
        <family val="2"/>
      </rPr>
      <t>secondary school</t>
    </r>
    <r>
      <rPr>
        <sz val="12"/>
        <rFont val="Calibri"/>
        <family val="2"/>
      </rPr>
      <t xml:space="preserve"> is defined as a school providing instruction to grades 6 through 12, or any combination of those grades, except where a school committee, prior to the commencement of the school year, has designated a middle or other intermediate level school providing instruction to grades 5 through 8, or any combination thereof, as an elementary school.  
</t>
    </r>
    <r>
      <rPr>
        <b/>
        <sz val="12"/>
        <rFont val="Calibri"/>
        <family val="2"/>
      </rPr>
      <t>Within these definitions (and including kindergarten as elementary), your district has some flexibility to distinguish elementary from secondary students, as long as the categories are reasonable and consistent across schools and from year to year.</t>
    </r>
    <r>
      <rPr>
        <sz val="12"/>
        <rFont val="Calibri"/>
        <family val="2"/>
      </rPr>
      <t xml:space="preserve">   For example, your district may include all expenditures for students in grades K-6 in elementary and those for students in grades 7-12 in the elementary category, as longs as this is consistent for all students in those grades regardless of which school they attend.  Please indicate below how your district has defined each group by grade.
</t>
    </r>
    <r>
      <rPr>
        <b/>
        <sz val="13"/>
        <rFont val="Calibri"/>
        <family val="2"/>
      </rPr>
      <t xml:space="preserve">
Allocating expenditures between elementary and secondary students</t>
    </r>
    <r>
      <rPr>
        <b/>
        <sz val="12"/>
        <rFont val="Calibri"/>
        <family val="2"/>
      </rPr>
      <t xml:space="preserve">
 </t>
    </r>
    <r>
      <rPr>
        <sz val="12"/>
        <rFont val="Calibri"/>
        <family val="2"/>
      </rPr>
      <t xml:space="preserve">•  Districts should use actual expenditure information to separate elementary from secondary expenses (most districts -- it is not permissible to lump all school system expenditures and pro-rate based solely on 
     elementary and secondary enrollment.  
 •  While all K-12 expenditures should be included in these calculations, a district's expenditures for purposes outside of K-12 should not be included (i.e., adult education or preschool).
 •  When expenditures represent staff or services to both elementary and secondary students, work assignments should be used to allocate costs as accurately as possible.
 •  Where separating or distinguishing an expenditure between elementary and secondary students cannot be achieved as described above, the district may determine a reasonable method of allocation, 
     which should be memorialized and retained for audit purposes.  
</t>
    </r>
    <r>
      <rPr>
        <b/>
        <sz val="18"/>
        <rFont val="Calibri"/>
        <family val="2"/>
      </rPr>
      <t xml:space="preserve">Districts should contact DESE's Audit and Compliance office with questions about allocating expenditures </t>
    </r>
    <r>
      <rPr>
        <b/>
        <sz val="22"/>
        <rFont val="Calibri"/>
        <family val="2"/>
      </rPr>
      <t>(</t>
    </r>
    <r>
      <rPr>
        <b/>
        <sz val="22"/>
        <color indexed="12"/>
        <rFont val="Calibri"/>
        <family val="2"/>
      </rPr>
      <t>Audit.Compliance@doe.mass.edu</t>
    </r>
    <r>
      <rPr>
        <b/>
        <sz val="22"/>
        <rFont val="Calibri"/>
        <family val="2"/>
      </rPr>
      <t>)</t>
    </r>
    <r>
      <rPr>
        <b/>
        <sz val="18"/>
        <rFont val="Calibri"/>
        <family val="2"/>
      </rPr>
      <t>.</t>
    </r>
    <r>
      <rPr>
        <sz val="12"/>
        <rFont val="Calibri"/>
        <family val="2"/>
      </rPr>
      <t xml:space="preserve">
</t>
    </r>
  </si>
  <si>
    <t>Appendix A to Part 300—Excess Costs Calculation</t>
  </si>
  <si>
    <r>
      <rPr>
        <b/>
        <sz val="12"/>
        <rFont val="Calibri"/>
        <family val="2"/>
      </rPr>
      <t>Elementary students</t>
    </r>
    <r>
      <rPr>
        <sz val="12"/>
        <rFont val="Calibri"/>
        <family val="2"/>
      </rPr>
      <t xml:space="preserve">
 (Example:  Grades K to 5)</t>
    </r>
  </si>
  <si>
    <t xml:space="preserve"> Grades_k__ to _5__</t>
  </si>
  <si>
    <r>
      <rPr>
        <b/>
        <sz val="12"/>
        <rFont val="Calibri"/>
        <family val="2"/>
      </rPr>
      <t>Secondary Students</t>
    </r>
    <r>
      <rPr>
        <sz val="12"/>
        <rFont val="Calibri"/>
        <family val="2"/>
      </rPr>
      <t xml:space="preserve">
(Example:  Grades 6 to 12)</t>
    </r>
  </si>
  <si>
    <t>Grades _6__ to _12__</t>
  </si>
  <si>
    <t xml:space="preserve">Excess Cost Calculation </t>
  </si>
  <si>
    <t>Elementary</t>
  </si>
  <si>
    <t>Secondary</t>
  </si>
  <si>
    <t>EOYR Validation Check</t>
  </si>
  <si>
    <t>(please note, this validation is not a check of your districts 
Elementary / Secondary allocation methodology)</t>
  </si>
  <si>
    <t xml:space="preserve"> Grades_k_ to _5_</t>
  </si>
  <si>
    <t xml:space="preserve"> Grades 6 - 12</t>
  </si>
  <si>
    <t>A.</t>
  </si>
  <si>
    <t>Total Expenditures from all sources</t>
  </si>
  <si>
    <t>B.</t>
  </si>
  <si>
    <t>Total Capital Outlay and Debt Services</t>
  </si>
  <si>
    <t>C.</t>
  </si>
  <si>
    <t>Total IDEA, Part B Expenditures</t>
  </si>
  <si>
    <t>D.</t>
  </si>
  <si>
    <t>Total Title I, Part A Expenditures</t>
  </si>
  <si>
    <t>**</t>
  </si>
  <si>
    <t>E.</t>
  </si>
  <si>
    <t>Total Title III, Parts A &amp; B Expenditures</t>
  </si>
  <si>
    <t>Please review at the district level</t>
  </si>
  <si>
    <t>F.</t>
  </si>
  <si>
    <t>State/Local funds for students with disabilities</t>
  </si>
  <si>
    <t>G.</t>
  </si>
  <si>
    <t>State/Local funds for Title I and Title III programs</t>
  </si>
  <si>
    <r>
      <rPr>
        <sz val="11"/>
        <rFont val="Calibri"/>
        <family val="2"/>
      </rPr>
      <t xml:space="preserve"> Total Debt and Expenditures</t>
    </r>
    <r>
      <rPr>
        <sz val="11"/>
        <color indexed="10"/>
        <rFont val="Calibri"/>
        <family val="2"/>
      </rPr>
      <t xml:space="preserve"> </t>
    </r>
    <r>
      <rPr>
        <sz val="11"/>
        <rFont val="Calibri"/>
        <family val="2"/>
      </rPr>
      <t>(Lines B-G)</t>
    </r>
  </si>
  <si>
    <r>
      <t xml:space="preserve">Total Expenditures from all sources  minus Total Debt and </t>
    </r>
    <r>
      <rPr>
        <sz val="12"/>
        <rFont val="SWISS"/>
      </rPr>
      <t>Expenditures</t>
    </r>
  </si>
  <si>
    <t>H.</t>
  </si>
  <si>
    <t>Total Enrollment Elementary or Secondary Students 
(October 2023 SIMS)</t>
  </si>
  <si>
    <t>Please refer to profiles on the DESE website to tie back your K-12 enrollment data</t>
  </si>
  <si>
    <t>Average Annual Expenditure per Student</t>
  </si>
  <si>
    <t>I.</t>
  </si>
  <si>
    <t>Estimated Students with an IEP in 2024-2025 school year</t>
  </si>
  <si>
    <t>J.</t>
  </si>
  <si>
    <t>Minimum annual aggregate expenditure to be spent on the education of students with disabilities in FY25 before using IDEA Part B funds</t>
  </si>
  <si>
    <t>If "Please Review" is shown in this column 
Please review data row</t>
  </si>
  <si>
    <t>This sheet shows various calculations and data used in net school spending and edits</t>
  </si>
  <si>
    <t>Day program share of instructional expenditures (used in nss)</t>
  </si>
  <si>
    <t>EDIT 13 formula</t>
  </si>
  <si>
    <t>line</t>
  </si>
  <si>
    <t>col</t>
  </si>
  <si>
    <t>description</t>
  </si>
  <si>
    <t>actual</t>
  </si>
  <si>
    <t>budgeted</t>
  </si>
  <si>
    <t>e</t>
  </si>
  <si>
    <t>reg day instructional total</t>
  </si>
  <si>
    <t>f</t>
  </si>
  <si>
    <t>sped instructional total</t>
  </si>
  <si>
    <t>g</t>
  </si>
  <si>
    <t>vocational/technical instructional total</t>
  </si>
  <si>
    <t>subtotal, designated day programs</t>
  </si>
  <si>
    <t>I</t>
  </si>
  <si>
    <t>other programs instructional total</t>
  </si>
  <si>
    <t>total, designated programs</t>
  </si>
  <si>
    <t>daypct</t>
  </si>
  <si>
    <t>daypctbud</t>
  </si>
  <si>
    <t>total, day % of all designated programs</t>
  </si>
  <si>
    <t>II.</t>
  </si>
  <si>
    <t>Undistributed administrative school committee expenditures (used in nss)</t>
  </si>
  <si>
    <t>j</t>
  </si>
  <si>
    <t>School Committee</t>
  </si>
  <si>
    <t>Superintendent</t>
  </si>
  <si>
    <t>Assistant Superintendent</t>
  </si>
  <si>
    <t>Other District-Wide Admin</t>
  </si>
  <si>
    <t>Business and Finance</t>
  </si>
  <si>
    <t>Human Resources and Benefits</t>
  </si>
  <si>
    <t>Legal Service for School Committee</t>
  </si>
  <si>
    <t>Districtwide Info Mgmt &amp; Tech</t>
  </si>
  <si>
    <t>Total, sc admin</t>
  </si>
  <si>
    <t>scadmin</t>
  </si>
  <si>
    <t>III.</t>
  </si>
  <si>
    <t>Current year facilities aid used in budgeted nss</t>
  </si>
  <si>
    <t>projected facilities aid</t>
  </si>
  <si>
    <t>projfacaid</t>
  </si>
  <si>
    <t>code436</t>
  </si>
  <si>
    <t>yes</t>
  </si>
  <si>
    <t>no</t>
  </si>
  <si>
    <t>AQUINNAH</t>
  </si>
  <si>
    <t>136</t>
  </si>
  <si>
    <t>139</t>
  </si>
  <si>
    <t>144</t>
  </si>
  <si>
    <t>341</t>
  </si>
  <si>
    <t>348</t>
  </si>
  <si>
    <t>615</t>
  </si>
  <si>
    <t>675</t>
  </si>
  <si>
    <t>IV.</t>
  </si>
  <si>
    <t>Title I Maintenance of Effort</t>
  </si>
  <si>
    <t>A &amp; M</t>
  </si>
  <si>
    <t>Networking and Telecommunications (4400)</t>
  </si>
  <si>
    <t>Instruc</t>
  </si>
  <si>
    <t>Other Fixed</t>
  </si>
  <si>
    <t>Athletics</t>
  </si>
  <si>
    <t>Trans.</t>
  </si>
  <si>
    <t>V.</t>
  </si>
  <si>
    <t>IDEA Maintenance of Effort</t>
  </si>
  <si>
    <t>Lunenburg Primary School</t>
  </si>
  <si>
    <t>PK</t>
  </si>
  <si>
    <t>02</t>
  </si>
  <si>
    <t>Turkey Hill Elementary School</t>
  </si>
  <si>
    <t>03</t>
  </si>
  <si>
    <t>05</t>
  </si>
  <si>
    <t>Lunenburg Middle School</t>
  </si>
  <si>
    <t>06</t>
  </si>
  <si>
    <t>08</t>
  </si>
  <si>
    <t>Lunenburg High</t>
  </si>
  <si>
    <t>09</t>
  </si>
  <si>
    <t>Advanced Community Experience Program</t>
  </si>
  <si>
    <t>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</si>
</sst>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
    <numFmt numFmtId="165" formatCode="0.0"/>
    <numFmt numFmtId="166" formatCode="0.0%"/>
    <numFmt numFmtId="167" formatCode="m/d/yy;@"/>
    <numFmt numFmtId="168" formatCode="&quot;$&quot;#,##0.00"/>
    <numFmt numFmtId="169" formatCode="0_);\(0\)"/>
  </numFmts>
  <fonts count="124">
    <font>
      <sz val="12"/>
      <name val="SWISS"/>
    </font>
    <font>
      <sz val="10"/>
      <color indexed="8"/>
      <name val="Arial"/>
      <family val="2"/>
    </font>
    <font>
      <b/>
      <sz val="10"/>
      <name val="Arial"/>
      <family val="2"/>
    </font>
    <font>
      <sz val="12"/>
      <name val="SWISS"/>
    </font>
    <font>
      <sz val="10"/>
      <color indexed="8"/>
      <name val="MS Sans Serif"/>
      <family val="2"/>
    </font>
    <font>
      <sz val="12"/>
      <name val="Arial Narrow"/>
      <family val="2"/>
    </font>
    <font>
      <sz val="10"/>
      <name val="Arial Narrow"/>
      <family val="2"/>
    </font>
    <font>
      <b/>
      <sz val="12"/>
      <name val="Arial Narrow"/>
      <family val="2"/>
    </font>
    <font>
      <b/>
      <sz val="10"/>
      <name val="Arial Narrow"/>
      <family val="2"/>
    </font>
    <font>
      <sz val="8"/>
      <name val="Arial"/>
      <family val="2"/>
    </font>
    <font>
      <sz val="10"/>
      <name val="Arial"/>
      <family val="2"/>
    </font>
    <font>
      <i/>
      <sz val="10"/>
      <name val="Arial"/>
      <family val="2"/>
    </font>
    <font>
      <b/>
      <u/>
      <sz val="10"/>
      <name val="Arial Narrow"/>
      <family val="2"/>
    </font>
    <font>
      <b/>
      <sz val="12"/>
      <name val="Arial"/>
      <family val="2"/>
    </font>
    <font>
      <sz val="12"/>
      <name val="Arial"/>
      <family val="2"/>
    </font>
    <font>
      <b/>
      <u/>
      <sz val="12"/>
      <name val="Arial"/>
      <family val="2"/>
    </font>
    <font>
      <b/>
      <i/>
      <sz val="12"/>
      <name val="Arial"/>
      <family val="2"/>
    </font>
    <font>
      <b/>
      <sz val="11"/>
      <name val="Arial Narrow"/>
      <family val="2"/>
    </font>
    <font>
      <b/>
      <sz val="20"/>
      <name val="Arial"/>
      <family val="2"/>
    </font>
    <font>
      <sz val="10"/>
      <name val="Arial"/>
      <family val="2"/>
    </font>
    <font>
      <u/>
      <sz val="10"/>
      <color indexed="12"/>
      <name val="Arial"/>
      <family val="2"/>
    </font>
    <font>
      <b/>
      <sz val="10"/>
      <color indexed="60"/>
      <name val="Arial"/>
      <family val="2"/>
    </font>
    <font>
      <b/>
      <sz val="10"/>
      <color indexed="16"/>
      <name val="Arial Narrow"/>
      <family val="2"/>
    </font>
    <font>
      <b/>
      <sz val="11"/>
      <name val="Arial"/>
      <family val="2"/>
    </font>
    <font>
      <sz val="10"/>
      <color indexed="16"/>
      <name val="Arial Narrow"/>
      <family val="2"/>
    </font>
    <font>
      <sz val="10"/>
      <color indexed="18"/>
      <name val="Arial"/>
      <family val="2"/>
    </font>
    <font>
      <b/>
      <sz val="10"/>
      <color indexed="18"/>
      <name val="Arial"/>
      <family val="2"/>
    </font>
    <font>
      <b/>
      <i/>
      <sz val="10"/>
      <name val="Arial"/>
      <family val="2"/>
    </font>
    <font>
      <sz val="8"/>
      <name val="Arial"/>
      <family val="2"/>
    </font>
    <font>
      <sz val="8"/>
      <color indexed="60"/>
      <name val="Arial"/>
      <family val="2"/>
    </font>
    <font>
      <b/>
      <sz val="8"/>
      <name val="Arial"/>
      <family val="2"/>
    </font>
    <font>
      <b/>
      <sz val="10"/>
      <color indexed="16"/>
      <name val="Arial"/>
      <family val="2"/>
    </font>
    <font>
      <b/>
      <sz val="16"/>
      <name val="Arial"/>
      <family val="2"/>
    </font>
    <font>
      <b/>
      <u/>
      <sz val="10"/>
      <name val="Arial"/>
      <family val="2"/>
    </font>
    <font>
      <u/>
      <sz val="10"/>
      <name val="Arial"/>
      <family val="2"/>
    </font>
    <font>
      <sz val="8"/>
      <color indexed="81"/>
      <name val="Tahoma"/>
      <family val="2"/>
    </font>
    <font>
      <sz val="16"/>
      <name val="Arial"/>
      <family val="2"/>
    </font>
    <font>
      <b/>
      <sz val="8"/>
      <name val="Arial Narrow"/>
      <family val="2"/>
    </font>
    <font>
      <sz val="10"/>
      <color indexed="81"/>
      <name val="Tahoma"/>
      <family val="2"/>
    </font>
    <font>
      <b/>
      <sz val="14"/>
      <name val="Arial"/>
      <family val="2"/>
    </font>
    <font>
      <sz val="12"/>
      <color indexed="12"/>
      <name val="Arial"/>
      <family val="2"/>
    </font>
    <font>
      <sz val="10"/>
      <color indexed="12"/>
      <name val="Arial"/>
      <family val="2"/>
    </font>
    <font>
      <b/>
      <u/>
      <sz val="8"/>
      <name val="Arial"/>
      <family val="2"/>
    </font>
    <font>
      <sz val="18"/>
      <name val="Arial"/>
      <family val="2"/>
    </font>
    <font>
      <b/>
      <sz val="14"/>
      <color indexed="81"/>
      <name val="Tahoma"/>
      <family val="2"/>
    </font>
    <font>
      <sz val="9"/>
      <name val="Arial"/>
      <family val="2"/>
    </font>
    <font>
      <b/>
      <sz val="12"/>
      <color indexed="81"/>
      <name val="Arial Narrow"/>
      <family val="2"/>
    </font>
    <font>
      <sz val="12"/>
      <color indexed="81"/>
      <name val="Arial Narrow"/>
      <family val="2"/>
    </font>
    <font>
      <b/>
      <sz val="20"/>
      <name val="Arial Narrow"/>
      <family val="2"/>
    </font>
    <font>
      <sz val="10"/>
      <color indexed="8"/>
      <name val="Arial"/>
      <family val="2"/>
    </font>
    <font>
      <sz val="16"/>
      <color indexed="8"/>
      <name val="Arial"/>
      <family val="2"/>
    </font>
    <font>
      <sz val="18"/>
      <color indexed="8"/>
      <name val="Arial"/>
      <family val="2"/>
    </font>
    <font>
      <b/>
      <sz val="16"/>
      <name val="Calibri"/>
      <family val="2"/>
    </font>
    <font>
      <sz val="12"/>
      <name val="Calibri"/>
      <family val="2"/>
    </font>
    <font>
      <sz val="20"/>
      <name val="Arial"/>
      <family val="2"/>
    </font>
    <font>
      <b/>
      <sz val="12"/>
      <name val="SWISS"/>
    </font>
    <font>
      <sz val="10.5"/>
      <name val="Consolas"/>
      <family val="3"/>
    </font>
    <font>
      <sz val="14"/>
      <color indexed="8"/>
      <name val="Calibri"/>
      <family val="2"/>
    </font>
    <font>
      <b/>
      <sz val="14"/>
      <color indexed="8"/>
      <name val="Calibri"/>
      <family val="2"/>
    </font>
    <font>
      <sz val="11"/>
      <name val="Calibri"/>
      <family val="2"/>
    </font>
    <font>
      <sz val="9"/>
      <color indexed="81"/>
      <name val="Tahoma"/>
      <family val="2"/>
    </font>
    <font>
      <sz val="10"/>
      <color indexed="10"/>
      <name val="Arial"/>
      <family val="2"/>
    </font>
    <font>
      <b/>
      <sz val="11"/>
      <color indexed="8"/>
      <name val="Calibri"/>
      <family val="2"/>
    </font>
    <font>
      <sz val="12"/>
      <color indexed="8"/>
      <name val="Calibri"/>
      <family val="2"/>
    </font>
    <font>
      <sz val="11"/>
      <color indexed="8"/>
      <name val="Calibri"/>
      <family val="2"/>
    </font>
    <font>
      <sz val="11"/>
      <color indexed="10"/>
      <name val="Calibri"/>
      <family val="2"/>
    </font>
    <font>
      <u/>
      <sz val="12"/>
      <color indexed="8"/>
      <name val="Calibri"/>
      <family val="2"/>
    </font>
    <font>
      <u/>
      <sz val="11"/>
      <color indexed="8"/>
      <name val="Calibri"/>
      <family val="2"/>
    </font>
    <font>
      <b/>
      <sz val="14"/>
      <name val="Arial Narrow"/>
      <family val="2"/>
    </font>
    <font>
      <sz val="10"/>
      <name val="SWISS"/>
    </font>
    <font>
      <b/>
      <sz val="9"/>
      <color indexed="81"/>
      <name val="Tahoma"/>
      <family val="2"/>
    </font>
    <font>
      <sz val="12"/>
      <color indexed="17"/>
      <name val="Arial"/>
      <family val="2"/>
    </font>
    <font>
      <b/>
      <sz val="22"/>
      <color indexed="8"/>
      <name val="Calibri"/>
      <family val="2"/>
    </font>
    <font>
      <b/>
      <sz val="13"/>
      <name val="Calibri"/>
      <family val="2"/>
    </font>
    <font>
      <b/>
      <i/>
      <sz val="12"/>
      <name val="Calibri"/>
      <family val="2"/>
    </font>
    <font>
      <b/>
      <sz val="12"/>
      <name val="Calibri"/>
      <family val="2"/>
    </font>
    <font>
      <b/>
      <sz val="18"/>
      <name val="Calibri"/>
      <family val="2"/>
    </font>
    <font>
      <sz val="9"/>
      <name val="SWISS"/>
    </font>
    <font>
      <b/>
      <sz val="22"/>
      <name val="Calibri"/>
      <family val="2"/>
    </font>
    <font>
      <b/>
      <sz val="22"/>
      <color indexed="12"/>
      <name val="Calibri"/>
      <family val="2"/>
    </font>
    <font>
      <b/>
      <u/>
      <sz val="14"/>
      <color indexed="81"/>
      <name val="Tahoma"/>
      <family val="2"/>
    </font>
    <font>
      <b/>
      <sz val="14"/>
      <name val="SWISS"/>
    </font>
    <font>
      <sz val="11"/>
      <name val="Arial"/>
      <family val="2"/>
    </font>
    <font>
      <u/>
      <sz val="12"/>
      <color indexed="12"/>
      <name val="Calibri"/>
      <family val="2"/>
    </font>
    <font>
      <b/>
      <sz val="12"/>
      <color indexed="8"/>
      <name val="Calibri"/>
      <family val="2"/>
    </font>
    <font>
      <sz val="10"/>
      <name val="MS Sans Serif"/>
      <family val="2"/>
    </font>
    <font>
      <sz val="14"/>
      <color indexed="81"/>
      <name val="Tahoma"/>
      <family val="2"/>
    </font>
    <font>
      <i/>
      <sz val="12"/>
      <color indexed="8"/>
      <name val="Calibri"/>
      <family val="2"/>
    </font>
    <font>
      <b/>
      <sz val="9"/>
      <name val="Arial"/>
      <family val="2"/>
    </font>
    <font>
      <b/>
      <u/>
      <sz val="9"/>
      <name val="Arial"/>
      <family val="2"/>
    </font>
    <font>
      <i/>
      <sz val="12"/>
      <name val="SWISS"/>
    </font>
    <font>
      <i/>
      <sz val="11"/>
      <name val="SWISS"/>
    </font>
    <font>
      <sz val="10"/>
      <color theme="1"/>
      <name val="Arial"/>
      <family val="2"/>
    </font>
    <font>
      <sz val="10"/>
      <color rgb="FF006100"/>
      <name val="Arial"/>
      <family val="2"/>
    </font>
    <font>
      <sz val="11"/>
      <color theme="1"/>
      <name val="Calibri"/>
      <family val="2"/>
      <scheme val="minor"/>
    </font>
    <font>
      <b/>
      <sz val="6"/>
      <color rgb="FFFFFFFF"/>
      <name val="Verdana"/>
      <family val="2"/>
    </font>
    <font>
      <sz val="11.4"/>
      <color rgb="FF000000"/>
      <name val="Georgia"/>
      <family val="1"/>
    </font>
    <font>
      <b/>
      <sz val="22"/>
      <color theme="1"/>
      <name val="Calibri"/>
      <family val="2"/>
      <scheme val="minor"/>
    </font>
    <font>
      <sz val="11"/>
      <color rgb="FFFF0000"/>
      <name val="Calibri"/>
      <family val="2"/>
      <scheme val="minor"/>
    </font>
    <font>
      <sz val="12"/>
      <name val="Calibri"/>
      <family val="2"/>
      <scheme val="minor"/>
    </font>
    <font>
      <b/>
      <sz val="11"/>
      <color theme="1"/>
      <name val="Calibri"/>
      <family val="2"/>
      <scheme val="minor"/>
    </font>
    <font>
      <b/>
      <u/>
      <sz val="11"/>
      <color theme="1"/>
      <name val="Calibri"/>
      <family val="2"/>
      <scheme val="minor"/>
    </font>
    <font>
      <b/>
      <sz val="11"/>
      <name val="Calibri"/>
      <family val="2"/>
      <scheme val="minor"/>
    </font>
    <font>
      <sz val="11"/>
      <color rgb="FF000000"/>
      <name val="Calibri"/>
      <family val="2"/>
      <scheme val="minor"/>
    </font>
    <font>
      <sz val="9"/>
      <color rgb="FF000000"/>
      <name val="Calibri"/>
      <family val="2"/>
      <scheme val="minor"/>
    </font>
    <font>
      <b/>
      <sz val="11"/>
      <color rgb="FF000000"/>
      <name val="Calibri"/>
      <family val="2"/>
      <scheme val="minor"/>
    </font>
    <font>
      <sz val="12"/>
      <color theme="0"/>
      <name val="Arial"/>
      <family val="2"/>
    </font>
    <font>
      <sz val="12"/>
      <color rgb="FF000000"/>
      <name val="Calibri"/>
      <family val="2"/>
    </font>
    <font>
      <b/>
      <i/>
      <sz val="11"/>
      <color theme="1"/>
      <name val="Calibri"/>
      <family val="2"/>
      <scheme val="minor"/>
    </font>
    <font>
      <sz val="12"/>
      <color rgb="FF0000FF"/>
      <name val="Arial"/>
      <family val="2"/>
    </font>
    <font>
      <sz val="11"/>
      <color indexed="8"/>
      <name val="Calibri"/>
      <family val="2"/>
      <scheme val="minor"/>
    </font>
    <font>
      <sz val="11"/>
      <name val="Calibri"/>
      <family val="2"/>
      <scheme val="minor"/>
    </font>
    <font>
      <b/>
      <sz val="12"/>
      <name val="Calibri"/>
      <family val="2"/>
      <scheme val="minor"/>
    </font>
    <font>
      <sz val="11"/>
      <color theme="1"/>
      <name val="Arial"/>
      <family val="2"/>
    </font>
    <font>
      <sz val="12"/>
      <color theme="1"/>
      <name val="Calibri"/>
      <family val="2"/>
      <scheme val="minor"/>
    </font>
    <font>
      <b/>
      <sz val="12"/>
      <color theme="1"/>
      <name val="Calibri"/>
      <family val="2"/>
      <scheme val="minor"/>
    </font>
    <font>
      <b/>
      <sz val="16"/>
      <color theme="1"/>
      <name val="Calibri"/>
      <family val="2"/>
      <scheme val="minor"/>
    </font>
    <font>
      <b/>
      <sz val="13"/>
      <color theme="1"/>
      <name val="Calibri"/>
      <family val="2"/>
      <scheme val="minor"/>
    </font>
    <font>
      <b/>
      <sz val="12"/>
      <color rgb="FFED0000"/>
      <name val="Arial Narrow"/>
      <family val="2"/>
    </font>
    <font>
      <b/>
      <sz val="12"/>
      <color rgb="FFED0000"/>
      <name val="Arial"/>
      <family val="2"/>
    </font>
    <font>
      <sz val="12"/>
      <color rgb="FFED0000"/>
      <name val="Arial"/>
      <family val="2"/>
    </font>
    <font>
      <sz val="12"/>
      <color theme="1"/>
      <name val="Arial"/>
      <family val="2"/>
    </font>
    <font>
      <b/>
      <sz val="10"/>
      <color theme="1"/>
      <name val="Arial"/>
      <family val="2"/>
    </font>
    <font>
      <sz val="12"/>
      <color theme="1"/>
      <name val="Swiss"/>
    </font>
  </fonts>
  <fills count="24">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9"/>
        <bgColor indexed="64"/>
      </patternFill>
    </fill>
    <fill>
      <patternFill patternType="solid">
        <fgColor indexed="65"/>
        <bgColor indexed="64"/>
      </patternFill>
    </fill>
    <fill>
      <patternFill patternType="solid">
        <fgColor indexed="23"/>
        <bgColor indexed="64"/>
      </patternFill>
    </fill>
    <fill>
      <patternFill patternType="solid">
        <fgColor indexed="22"/>
        <bgColor indexed="64"/>
      </patternFill>
    </fill>
    <fill>
      <patternFill patternType="solid">
        <fgColor rgb="FFC6EFCE"/>
      </patternFill>
    </fill>
    <fill>
      <patternFill patternType="solid">
        <fgColor rgb="FFCCFFCC"/>
        <bgColor indexed="64"/>
      </patternFill>
    </fill>
    <fill>
      <patternFill patternType="solid">
        <fgColor rgb="FFFFFED9"/>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0C0C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
      <patternFill patternType="solid">
        <fgColor rgb="FFF3ECD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FFFFFF"/>
      </patternFill>
    </fill>
  </fills>
  <borders count="82">
    <border>
      <left/>
      <right/>
      <top/>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right/>
      <top/>
      <bottom style="thin">
        <color indexed="64"/>
      </bottom>
      <diagonal/>
    </border>
    <border>
      <left style="thin">
        <color indexed="8"/>
      </left>
      <right style="thin">
        <color indexed="64"/>
      </right>
      <top style="thin">
        <color indexed="8"/>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8"/>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right/>
      <top style="thin">
        <color indexed="64"/>
      </top>
      <bottom/>
      <diagonal/>
    </border>
    <border>
      <left/>
      <right style="thin">
        <color indexed="8"/>
      </right>
      <top/>
      <bottom/>
      <diagonal/>
    </border>
    <border>
      <left style="thin">
        <color indexed="64"/>
      </left>
      <right style="thin">
        <color indexed="8"/>
      </right>
      <top style="thin">
        <color indexed="8"/>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64"/>
      </bottom>
      <diagonal/>
    </border>
    <border>
      <left style="thin">
        <color indexed="8"/>
      </left>
      <right style="thin">
        <color indexed="64"/>
      </right>
      <top style="thin">
        <color indexed="8"/>
      </top>
      <bottom style="thin">
        <color indexed="8"/>
      </bottom>
      <diagonal/>
    </border>
    <border>
      <left style="thin">
        <color indexed="8"/>
      </left>
      <right/>
      <top/>
      <bottom style="thin">
        <color indexed="8"/>
      </bottom>
      <diagonal/>
    </border>
    <border>
      <left style="thin">
        <color indexed="64"/>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style="medium">
        <color theme="0" tint="-0.499984740745262"/>
      </right>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style="thin">
        <color rgb="FF000000"/>
      </left>
      <right style="thin">
        <color rgb="FF000000"/>
      </right>
      <top style="double">
        <color rgb="FF000000"/>
      </top>
      <bottom style="thin">
        <color rgb="FF000000"/>
      </bottom>
      <diagonal/>
    </border>
  </borders>
  <cellStyleXfs count="15">
    <xf numFmtId="3" fontId="0" fillId="0" borderId="0"/>
    <xf numFmtId="43" fontId="3" fillId="0" borderId="0" applyFont="0" applyFill="0" applyBorder="0" applyAlignment="0" applyProtection="0"/>
    <xf numFmtId="43" fontId="49"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0" fontId="93" fillId="8" borderId="0" applyNumberFormat="0" applyBorder="0" applyAlignment="0" applyProtection="0"/>
    <xf numFmtId="0" fontId="20" fillId="0" borderId="0" applyNumberFormat="0" applyFill="0" applyBorder="0" applyAlignment="0" applyProtection="0">
      <alignment vertical="top"/>
      <protection locked="0"/>
    </xf>
    <xf numFmtId="0" fontId="10" fillId="0" borderId="0"/>
    <xf numFmtId="3" fontId="3" fillId="0" borderId="0"/>
    <xf numFmtId="0" fontId="92" fillId="0" borderId="0"/>
    <xf numFmtId="0" fontId="94" fillId="0" borderId="0"/>
    <xf numFmtId="0" fontId="85" fillId="0" borderId="0"/>
    <xf numFmtId="0" fontId="1" fillId="0" borderId="0"/>
    <xf numFmtId="0" fontId="4" fillId="0" borderId="0"/>
    <xf numFmtId="9" fontId="3" fillId="0" borderId="0" applyFont="0" applyFill="0" applyBorder="0" applyAlignment="0" applyProtection="0"/>
  </cellStyleXfs>
  <cellXfs count="806">
    <xf numFmtId="3" fontId="3" fillId="0" borderId="0" xfId="0" applyFont="1"/>
    <xf numFmtId="3" fontId="10" fillId="0" borderId="0" xfId="0" applyFont="1"/>
    <xf numFmtId="3" fontId="10" fillId="2" borderId="0" xfId="0" applyFont="1" applyFill="1"/>
    <xf numFmtId="3" fontId="0" fillId="0" borderId="0" xfId="0"/>
    <xf numFmtId="3" fontId="14" fillId="0" borderId="0" xfId="0" applyFont="1"/>
    <xf numFmtId="1" fontId="14" fillId="0" borderId="1" xfId="0" applyNumberFormat="1" applyFont="1" applyBorder="1"/>
    <xf numFmtId="3" fontId="14" fillId="0" borderId="2" xfId="0" applyFont="1" applyBorder="1"/>
    <xf numFmtId="3" fontId="14" fillId="0" borderId="2" xfId="0" applyFont="1" applyBorder="1" applyProtection="1">
      <protection locked="0"/>
    </xf>
    <xf numFmtId="3" fontId="14" fillId="0" borderId="3" xfId="0" applyFont="1" applyBorder="1" applyProtection="1">
      <protection locked="0"/>
    </xf>
    <xf numFmtId="3" fontId="14" fillId="0" borderId="4" xfId="0" applyFont="1" applyBorder="1" applyProtection="1">
      <protection locked="0"/>
    </xf>
    <xf numFmtId="3" fontId="14" fillId="0" borderId="5" xfId="0" applyFont="1" applyBorder="1" applyProtection="1">
      <protection locked="0"/>
    </xf>
    <xf numFmtId="3" fontId="14" fillId="3" borderId="2" xfId="0" applyFont="1" applyFill="1" applyBorder="1"/>
    <xf numFmtId="3" fontId="14" fillId="3" borderId="5" xfId="0" applyFont="1" applyFill="1" applyBorder="1"/>
    <xf numFmtId="3" fontId="13" fillId="0" borderId="0" xfId="0" applyFont="1"/>
    <xf numFmtId="3" fontId="14" fillId="0" borderId="6" xfId="0" applyFont="1" applyBorder="1"/>
    <xf numFmtId="3" fontId="14" fillId="0" borderId="7" xfId="0" applyFont="1" applyBorder="1" applyProtection="1">
      <protection locked="0"/>
    </xf>
    <xf numFmtId="3" fontId="8" fillId="0" borderId="10" xfId="0" applyFont="1" applyBorder="1" applyAlignment="1">
      <alignment horizontal="center"/>
    </xf>
    <xf numFmtId="0" fontId="14" fillId="0" borderId="0" xfId="0" applyNumberFormat="1" applyFont="1"/>
    <xf numFmtId="3" fontId="14" fillId="4" borderId="0" xfId="0" applyFont="1" applyFill="1"/>
    <xf numFmtId="49" fontId="14" fillId="4" borderId="2" xfId="0" applyNumberFormat="1" applyFont="1" applyFill="1" applyBorder="1"/>
    <xf numFmtId="3" fontId="10" fillId="4" borderId="3" xfId="0" applyFont="1" applyFill="1" applyBorder="1" applyProtection="1">
      <protection locked="0"/>
    </xf>
    <xf numFmtId="3" fontId="10" fillId="4" borderId="0" xfId="0" applyFont="1" applyFill="1" applyAlignment="1">
      <alignment horizontal="center"/>
    </xf>
    <xf numFmtId="49" fontId="9" fillId="0" borderId="0" xfId="0" applyNumberFormat="1" applyFont="1"/>
    <xf numFmtId="3" fontId="28" fillId="0" borderId="0" xfId="0" applyFont="1"/>
    <xf numFmtId="3" fontId="29" fillId="0" borderId="0" xfId="0" applyFont="1"/>
    <xf numFmtId="49" fontId="30" fillId="0" borderId="0" xfId="0" applyNumberFormat="1" applyFont="1"/>
    <xf numFmtId="3" fontId="6" fillId="0" borderId="0" xfId="0" applyFont="1" applyAlignment="1">
      <alignment horizontal="center" vertical="top"/>
    </xf>
    <xf numFmtId="0" fontId="10" fillId="0" borderId="0" xfId="0" applyNumberFormat="1" applyFont="1"/>
    <xf numFmtId="3" fontId="6" fillId="0" borderId="0" xfId="0" applyFont="1" applyProtection="1">
      <protection locked="0"/>
    </xf>
    <xf numFmtId="3" fontId="23" fillId="4" borderId="0" xfId="0" applyFont="1" applyFill="1"/>
    <xf numFmtId="3" fontId="10" fillId="4" borderId="0" xfId="0" applyFont="1" applyFill="1"/>
    <xf numFmtId="49" fontId="10" fillId="4" borderId="3" xfId="0" applyNumberFormat="1" applyFont="1" applyFill="1" applyBorder="1"/>
    <xf numFmtId="3" fontId="10" fillId="4" borderId="3" xfId="0" applyFont="1" applyFill="1" applyBorder="1"/>
    <xf numFmtId="3" fontId="10" fillId="3" borderId="3" xfId="0" applyFont="1" applyFill="1" applyBorder="1"/>
    <xf numFmtId="3" fontId="27" fillId="4" borderId="3" xfId="0" applyFont="1" applyFill="1" applyBorder="1"/>
    <xf numFmtId="49" fontId="10" fillId="4" borderId="0" xfId="0" applyNumberFormat="1" applyFont="1" applyFill="1"/>
    <xf numFmtId="49" fontId="10" fillId="4" borderId="11" xfId="0" applyNumberFormat="1" applyFont="1" applyFill="1" applyBorder="1"/>
    <xf numFmtId="49" fontId="10" fillId="4" borderId="12" xfId="0" applyNumberFormat="1" applyFont="1" applyFill="1" applyBorder="1"/>
    <xf numFmtId="3" fontId="27" fillId="4" borderId="12" xfId="0" applyFont="1" applyFill="1" applyBorder="1"/>
    <xf numFmtId="3" fontId="10" fillId="4" borderId="12" xfId="0" applyFont="1" applyFill="1" applyBorder="1"/>
    <xf numFmtId="3" fontId="10" fillId="3" borderId="12" xfId="0" applyFont="1" applyFill="1" applyBorder="1"/>
    <xf numFmtId="1" fontId="10" fillId="0" borderId="0" xfId="0" applyNumberFormat="1" applyFont="1"/>
    <xf numFmtId="3" fontId="33" fillId="0" borderId="0" xfId="0" applyFont="1"/>
    <xf numFmtId="3" fontId="14" fillId="0" borderId="5" xfId="0" applyFont="1" applyBorder="1"/>
    <xf numFmtId="3" fontId="14" fillId="4" borderId="0" xfId="0" applyFont="1" applyFill="1" applyAlignment="1">
      <alignment horizontal="right"/>
    </xf>
    <xf numFmtId="166" fontId="10" fillId="2" borderId="0" xfId="0" applyNumberFormat="1" applyFont="1" applyFill="1"/>
    <xf numFmtId="3" fontId="15" fillId="0" borderId="0" xfId="0" applyFont="1"/>
    <xf numFmtId="3" fontId="11" fillId="0" borderId="0" xfId="0" applyFont="1"/>
    <xf numFmtId="3" fontId="14" fillId="0" borderId="2" xfId="0" quotePrefix="1" applyFont="1" applyBorder="1"/>
    <xf numFmtId="3" fontId="14" fillId="4" borderId="5" xfId="0" applyFont="1" applyFill="1" applyBorder="1"/>
    <xf numFmtId="3" fontId="5" fillId="3" borderId="2" xfId="0" applyFont="1" applyFill="1" applyBorder="1" applyAlignment="1">
      <alignment horizontal="center"/>
    </xf>
    <xf numFmtId="3" fontId="14" fillId="4" borderId="2" xfId="0" applyFont="1" applyFill="1" applyBorder="1"/>
    <xf numFmtId="3" fontId="5" fillId="3" borderId="2" xfId="0" applyFont="1" applyFill="1" applyBorder="1"/>
    <xf numFmtId="3" fontId="14" fillId="4" borderId="7" xfId="0" applyFont="1" applyFill="1" applyBorder="1"/>
    <xf numFmtId="3" fontId="5" fillId="3" borderId="5" xfId="0" applyFont="1" applyFill="1" applyBorder="1"/>
    <xf numFmtId="10" fontId="14" fillId="0" borderId="2" xfId="0" applyNumberFormat="1" applyFont="1" applyBorder="1"/>
    <xf numFmtId="3" fontId="11" fillId="0" borderId="0" xfId="0" applyFont="1" applyAlignment="1">
      <alignment horizontal="center"/>
    </xf>
    <xf numFmtId="3" fontId="14" fillId="3" borderId="3" xfId="0" applyFont="1" applyFill="1" applyBorder="1"/>
    <xf numFmtId="3" fontId="14" fillId="0" borderId="11" xfId="0" applyFont="1" applyBorder="1"/>
    <xf numFmtId="3" fontId="14" fillId="0" borderId="3" xfId="0" applyFont="1" applyBorder="1"/>
    <xf numFmtId="3" fontId="13" fillId="0" borderId="3" xfId="0" applyFont="1" applyBorder="1"/>
    <xf numFmtId="1" fontId="10" fillId="4" borderId="0" xfId="0" applyNumberFormat="1" applyFont="1" applyFill="1"/>
    <xf numFmtId="3" fontId="33" fillId="4" borderId="0" xfId="0" applyFont="1" applyFill="1"/>
    <xf numFmtId="1" fontId="10" fillId="4" borderId="0" xfId="0" applyNumberFormat="1" applyFont="1" applyFill="1" applyAlignment="1">
      <alignment horizontal="center"/>
    </xf>
    <xf numFmtId="164" fontId="10" fillId="4" borderId="0" xfId="0" applyNumberFormat="1" applyFont="1" applyFill="1"/>
    <xf numFmtId="1" fontId="10" fillId="4" borderId="0" xfId="0" applyNumberFormat="1" applyFont="1" applyFill="1" applyAlignment="1">
      <alignment horizontal="left"/>
    </xf>
    <xf numFmtId="3" fontId="10" fillId="4" borderId="0" xfId="0" applyFont="1" applyFill="1" applyAlignment="1">
      <alignment horizontal="left"/>
    </xf>
    <xf numFmtId="1" fontId="33" fillId="4" borderId="0" xfId="0" applyNumberFormat="1" applyFont="1" applyFill="1" applyAlignment="1">
      <alignment horizontal="left"/>
    </xf>
    <xf numFmtId="3" fontId="33" fillId="4" borderId="0" xfId="0" applyFont="1" applyFill="1" applyAlignment="1">
      <alignment horizontal="left"/>
    </xf>
    <xf numFmtId="1" fontId="34" fillId="4" borderId="0" xfId="0" applyNumberFormat="1" applyFont="1" applyFill="1" applyAlignment="1">
      <alignment horizontal="left"/>
    </xf>
    <xf numFmtId="3" fontId="34" fillId="4" borderId="0" xfId="0" applyFont="1" applyFill="1" applyAlignment="1">
      <alignment horizontal="left"/>
    </xf>
    <xf numFmtId="3" fontId="34" fillId="4" borderId="0" xfId="0" applyFont="1" applyFill="1" applyAlignment="1">
      <alignment horizontal="center"/>
    </xf>
    <xf numFmtId="3" fontId="10" fillId="4" borderId="0" xfId="0" applyFont="1" applyFill="1" applyAlignment="1">
      <alignment vertical="top"/>
    </xf>
    <xf numFmtId="3" fontId="19" fillId="4" borderId="0" xfId="0" applyFont="1" applyFill="1"/>
    <xf numFmtId="49" fontId="10" fillId="0" borderId="3" xfId="0" applyNumberFormat="1" applyFont="1" applyBorder="1" applyAlignment="1">
      <alignment horizontal="center"/>
    </xf>
    <xf numFmtId="3" fontId="13" fillId="3" borderId="3" xfId="0" applyFont="1" applyFill="1" applyBorder="1"/>
    <xf numFmtId="14" fontId="10" fillId="4" borderId="0" xfId="0" applyNumberFormat="1" applyFont="1" applyFill="1"/>
    <xf numFmtId="3" fontId="13" fillId="0" borderId="11" xfId="0" applyFont="1" applyBorder="1"/>
    <xf numFmtId="3" fontId="14" fillId="0" borderId="8" xfId="0" applyFont="1" applyBorder="1"/>
    <xf numFmtId="3" fontId="8" fillId="0" borderId="2" xfId="0" applyFont="1" applyBorder="1" applyAlignment="1">
      <alignment horizontal="center"/>
    </xf>
    <xf numFmtId="3" fontId="10" fillId="4" borderId="0" xfId="0" quotePrefix="1" applyFont="1" applyFill="1"/>
    <xf numFmtId="3" fontId="14" fillId="4" borderId="2" xfId="0" applyFont="1" applyFill="1" applyBorder="1" applyProtection="1">
      <protection locked="0"/>
    </xf>
    <xf numFmtId="3" fontId="14" fillId="4" borderId="2" xfId="0" quotePrefix="1" applyFont="1" applyFill="1" applyBorder="1"/>
    <xf numFmtId="3" fontId="10" fillId="0" borderId="0" xfId="0" applyFont="1" applyAlignment="1">
      <alignment horizontal="center"/>
    </xf>
    <xf numFmtId="3" fontId="14" fillId="0" borderId="15" xfId="0" applyFont="1" applyBorder="1" applyProtection="1">
      <protection locked="0"/>
    </xf>
    <xf numFmtId="3" fontId="5" fillId="0" borderId="0" xfId="0" applyFont="1"/>
    <xf numFmtId="2" fontId="14" fillId="0" borderId="0" xfId="0" applyNumberFormat="1" applyFont="1"/>
    <xf numFmtId="3" fontId="14" fillId="0" borderId="7" xfId="0" applyFont="1" applyBorder="1"/>
    <xf numFmtId="1" fontId="14" fillId="5" borderId="0" xfId="0" applyNumberFormat="1" applyFont="1" applyFill="1"/>
    <xf numFmtId="165" fontId="14" fillId="5" borderId="0" xfId="0" applyNumberFormat="1" applyFont="1" applyFill="1"/>
    <xf numFmtId="3" fontId="10" fillId="0" borderId="0" xfId="0" applyFont="1" applyAlignment="1">
      <alignment horizontal="left"/>
    </xf>
    <xf numFmtId="1" fontId="5" fillId="0" borderId="0" xfId="0" applyNumberFormat="1" applyFont="1" applyAlignment="1">
      <alignment horizontal="left"/>
    </xf>
    <xf numFmtId="3" fontId="14" fillId="0" borderId="0" xfId="0" applyFont="1" applyAlignment="1">
      <alignment horizontal="right"/>
    </xf>
    <xf numFmtId="3" fontId="14" fillId="4" borderId="5" xfId="0" applyFont="1" applyFill="1" applyBorder="1" applyProtection="1">
      <protection locked="0"/>
    </xf>
    <xf numFmtId="3" fontId="40" fillId="0" borderId="2" xfId="0" applyFont="1" applyBorder="1"/>
    <xf numFmtId="3" fontId="40" fillId="0" borderId="2" xfId="0" applyFont="1" applyBorder="1" applyProtection="1">
      <protection locked="0"/>
    </xf>
    <xf numFmtId="3" fontId="40" fillId="4" borderId="3" xfId="0" applyFont="1" applyFill="1" applyBorder="1"/>
    <xf numFmtId="3" fontId="40" fillId="4" borderId="5" xfId="0" applyFont="1" applyFill="1" applyBorder="1"/>
    <xf numFmtId="3" fontId="40" fillId="4" borderId="2" xfId="0" applyFont="1" applyFill="1" applyBorder="1"/>
    <xf numFmtId="3" fontId="14" fillId="0" borderId="1" xfId="0" applyFont="1" applyBorder="1"/>
    <xf numFmtId="3" fontId="10" fillId="0" borderId="0" xfId="0" quotePrefix="1" applyFont="1"/>
    <xf numFmtId="3" fontId="10" fillId="0" borderId="0" xfId="0" applyFont="1" applyAlignment="1">
      <alignment vertical="top"/>
    </xf>
    <xf numFmtId="3" fontId="41" fillId="0" borderId="0" xfId="0" applyFont="1"/>
    <xf numFmtId="3" fontId="14" fillId="0" borderId="16" xfId="0" applyFont="1" applyBorder="1" applyProtection="1">
      <protection locked="0"/>
    </xf>
    <xf numFmtId="3" fontId="13" fillId="0" borderId="0" xfId="0" applyFont="1" applyAlignment="1">
      <alignment horizontal="center"/>
    </xf>
    <xf numFmtId="3" fontId="14" fillId="0" borderId="0" xfId="0" quotePrefix="1" applyFont="1" applyAlignment="1">
      <alignment horizontal="center"/>
    </xf>
    <xf numFmtId="1" fontId="14" fillId="0" borderId="0" xfId="0" applyNumberFormat="1" applyFont="1"/>
    <xf numFmtId="3" fontId="13" fillId="0" borderId="0" xfId="0" applyFont="1" applyAlignment="1">
      <alignment horizontal="left"/>
    </xf>
    <xf numFmtId="3" fontId="17" fillId="0" borderId="17" xfId="0" applyFont="1" applyBorder="1" applyAlignment="1">
      <alignment horizontal="center"/>
    </xf>
    <xf numFmtId="3" fontId="36" fillId="0" borderId="3" xfId="0" applyFont="1" applyBorder="1" applyAlignment="1" applyProtection="1">
      <alignment horizontal="center"/>
      <protection locked="0"/>
    </xf>
    <xf numFmtId="3" fontId="14" fillId="0" borderId="18" xfId="0" applyFont="1" applyBorder="1"/>
    <xf numFmtId="3" fontId="6" fillId="0" borderId="0" xfId="0" applyFont="1"/>
    <xf numFmtId="3" fontId="45" fillId="0" borderId="0" xfId="0" applyFont="1"/>
    <xf numFmtId="49" fontId="6" fillId="0" borderId="0" xfId="0" applyNumberFormat="1" applyFont="1"/>
    <xf numFmtId="3" fontId="10" fillId="4" borderId="0" xfId="0" applyFont="1" applyFill="1" applyAlignment="1">
      <alignment wrapText="1"/>
    </xf>
    <xf numFmtId="3" fontId="24" fillId="4" borderId="0" xfId="0" applyFont="1" applyFill="1" applyAlignment="1">
      <alignment horizontal="center"/>
    </xf>
    <xf numFmtId="3" fontId="14" fillId="6" borderId="5" xfId="0" applyFont="1" applyFill="1" applyBorder="1"/>
    <xf numFmtId="3" fontId="40" fillId="0" borderId="3" xfId="0" applyFont="1" applyBorder="1" applyProtection="1">
      <protection locked="0"/>
    </xf>
    <xf numFmtId="3" fontId="2" fillId="0" borderId="0" xfId="0" applyFont="1"/>
    <xf numFmtId="1" fontId="2" fillId="4" borderId="0" xfId="0" applyNumberFormat="1" applyFont="1" applyFill="1" applyAlignment="1">
      <alignment horizontal="center"/>
    </xf>
    <xf numFmtId="3" fontId="2" fillId="4" borderId="0" xfId="0" applyFont="1" applyFill="1"/>
    <xf numFmtId="3" fontId="32" fillId="0" borderId="19" xfId="0" applyFont="1" applyBorder="1" applyAlignment="1" applyProtection="1">
      <alignment horizontal="center"/>
      <protection locked="0"/>
    </xf>
    <xf numFmtId="1" fontId="2" fillId="4" borderId="0" xfId="0" applyNumberFormat="1" applyFont="1" applyFill="1" applyAlignment="1">
      <alignment horizontal="left" vertical="top"/>
    </xf>
    <xf numFmtId="3" fontId="40" fillId="0" borderId="6" xfId="0" applyFont="1" applyBorder="1"/>
    <xf numFmtId="3" fontId="13" fillId="0" borderId="5" xfId="0" applyFont="1" applyBorder="1"/>
    <xf numFmtId="3" fontId="64" fillId="0" borderId="0" xfId="0" applyFont="1" applyAlignment="1">
      <alignment vertical="top" wrapText="1"/>
    </xf>
    <xf numFmtId="3" fontId="65" fillId="0" borderId="0" xfId="0" applyFont="1" applyAlignment="1">
      <alignment vertical="top" wrapText="1"/>
    </xf>
    <xf numFmtId="3" fontId="59" fillId="0" borderId="0" xfId="0" applyFont="1"/>
    <xf numFmtId="1" fontId="2" fillId="4" borderId="0" xfId="0" applyNumberFormat="1" applyFont="1" applyFill="1"/>
    <xf numFmtId="3" fontId="61" fillId="0" borderId="0" xfId="0" applyFont="1"/>
    <xf numFmtId="3" fontId="20" fillId="0" borderId="0" xfId="6" applyNumberFormat="1" applyAlignment="1" applyProtection="1"/>
    <xf numFmtId="3" fontId="2" fillId="0" borderId="0" xfId="0" applyFont="1" applyAlignment="1">
      <alignment horizontal="left" vertical="top"/>
    </xf>
    <xf numFmtId="3" fontId="95" fillId="0" borderId="0" xfId="0" applyFont="1" applyAlignment="1">
      <alignment horizontal="center" vertical="center" wrapText="1"/>
    </xf>
    <xf numFmtId="3" fontId="96" fillId="0" borderId="0" xfId="0" applyFont="1" applyAlignment="1">
      <alignment horizontal="left" vertical="top" wrapText="1"/>
    </xf>
    <xf numFmtId="3" fontId="10" fillId="0" borderId="12" xfId="0" applyFont="1" applyBorder="1"/>
    <xf numFmtId="3" fontId="10" fillId="4" borderId="20" xfId="0" applyFont="1" applyFill="1" applyBorder="1" applyProtection="1">
      <protection locked="0"/>
    </xf>
    <xf numFmtId="3" fontId="10" fillId="4" borderId="20" xfId="0" applyFont="1" applyFill="1" applyBorder="1"/>
    <xf numFmtId="3" fontId="10" fillId="0" borderId="11" xfId="0" applyFont="1" applyBorder="1"/>
    <xf numFmtId="3" fontId="10" fillId="4" borderId="11" xfId="0" applyFont="1" applyFill="1" applyBorder="1"/>
    <xf numFmtId="3" fontId="6" fillId="4" borderId="0" xfId="0" applyFont="1" applyFill="1"/>
    <xf numFmtId="3" fontId="21" fillId="4" borderId="0" xfId="0" applyFont="1" applyFill="1"/>
    <xf numFmtId="3" fontId="0" fillId="0" borderId="0" xfId="0" applyAlignment="1">
      <alignment horizontal="center"/>
    </xf>
    <xf numFmtId="3" fontId="22" fillId="4" borderId="0" xfId="0" applyFont="1" applyFill="1" applyAlignment="1">
      <alignment horizontal="center"/>
    </xf>
    <xf numFmtId="3" fontId="25" fillId="4" borderId="0" xfId="0" applyFont="1" applyFill="1"/>
    <xf numFmtId="3" fontId="26" fillId="4" borderId="0" xfId="0" applyFont="1" applyFill="1"/>
    <xf numFmtId="3" fontId="0" fillId="4" borderId="0" xfId="0" applyFill="1"/>
    <xf numFmtId="3" fontId="2" fillId="4" borderId="11" xfId="0" applyFont="1" applyFill="1" applyBorder="1"/>
    <xf numFmtId="49" fontId="10" fillId="4" borderId="20" xfId="0" applyNumberFormat="1" applyFont="1" applyFill="1" applyBorder="1"/>
    <xf numFmtId="3" fontId="10" fillId="3" borderId="20" xfId="0" applyFont="1" applyFill="1" applyBorder="1"/>
    <xf numFmtId="3" fontId="14" fillId="4" borderId="3" xfId="0" applyFont="1" applyFill="1" applyBorder="1"/>
    <xf numFmtId="3" fontId="14" fillId="0" borderId="12" xfId="0" applyFont="1" applyBorder="1"/>
    <xf numFmtId="3" fontId="14" fillId="4" borderId="12" xfId="0" applyFont="1" applyFill="1" applyBorder="1"/>
    <xf numFmtId="3" fontId="14" fillId="4" borderId="11" xfId="0" applyFont="1" applyFill="1" applyBorder="1"/>
    <xf numFmtId="3" fontId="14" fillId="4" borderId="20" xfId="0" applyFont="1" applyFill="1" applyBorder="1"/>
    <xf numFmtId="49" fontId="10" fillId="4" borderId="15" xfId="0" applyNumberFormat="1" applyFont="1" applyFill="1" applyBorder="1"/>
    <xf numFmtId="3" fontId="2" fillId="4" borderId="21" xfId="0" applyFont="1" applyFill="1" applyBorder="1"/>
    <xf numFmtId="3" fontId="14" fillId="9" borderId="3" xfId="0" applyFont="1" applyFill="1" applyBorder="1"/>
    <xf numFmtId="3" fontId="13" fillId="9" borderId="3" xfId="0" applyFont="1" applyFill="1" applyBorder="1"/>
    <xf numFmtId="3" fontId="0" fillId="4" borderId="0" xfId="0" applyFill="1" applyAlignment="1">
      <alignment horizontal="center"/>
    </xf>
    <xf numFmtId="3" fontId="13" fillId="0" borderId="22" xfId="0" applyFont="1" applyBorder="1" applyAlignment="1">
      <alignment horizontal="left"/>
    </xf>
    <xf numFmtId="3" fontId="2" fillId="0" borderId="3" xfId="0" applyFont="1" applyBorder="1" applyAlignment="1">
      <alignment horizontal="center"/>
    </xf>
    <xf numFmtId="3" fontId="8" fillId="0" borderId="2" xfId="0" applyFont="1" applyBorder="1"/>
    <xf numFmtId="3" fontId="8" fillId="1" borderId="7" xfId="0" applyFont="1" applyFill="1" applyBorder="1" applyAlignment="1">
      <alignment horizontal="center"/>
    </xf>
    <xf numFmtId="3" fontId="8" fillId="0" borderId="7" xfId="0" applyFont="1" applyBorder="1"/>
    <xf numFmtId="3" fontId="8" fillId="0" borderId="12" xfId="0" applyFont="1" applyBorder="1" applyAlignment="1">
      <alignment horizontal="center"/>
    </xf>
    <xf numFmtId="3" fontId="8" fillId="0" borderId="8" xfId="0" applyFont="1" applyBorder="1" applyAlignment="1">
      <alignment horizontal="center"/>
    </xf>
    <xf numFmtId="3" fontId="8" fillId="1" borderId="14" xfId="0" applyFont="1" applyFill="1" applyBorder="1" applyAlignment="1">
      <alignment horizontal="center"/>
    </xf>
    <xf numFmtId="3" fontId="8" fillId="0" borderId="14" xfId="0" applyFont="1" applyBorder="1"/>
    <xf numFmtId="3" fontId="8" fillId="0" borderId="23" xfId="0" applyFont="1" applyBorder="1" applyAlignment="1">
      <alignment horizontal="center"/>
    </xf>
    <xf numFmtId="3" fontId="14" fillId="0" borderId="22" xfId="0" applyFont="1" applyBorder="1"/>
    <xf numFmtId="3" fontId="8" fillId="0" borderId="24" xfId="0" applyFont="1" applyBorder="1" applyAlignment="1">
      <alignment horizontal="center"/>
    </xf>
    <xf numFmtId="3" fontId="8" fillId="0" borderId="9" xfId="0" applyFont="1" applyBorder="1" applyAlignment="1">
      <alignment horizontal="center"/>
    </xf>
    <xf numFmtId="3" fontId="8" fillId="1" borderId="9" xfId="0" applyFont="1" applyFill="1" applyBorder="1" applyAlignment="1">
      <alignment horizontal="center"/>
    </xf>
    <xf numFmtId="1" fontId="8" fillId="0" borderId="20" xfId="0" applyNumberFormat="1" applyFont="1" applyBorder="1" applyAlignment="1">
      <alignment horizontal="center"/>
    </xf>
    <xf numFmtId="49" fontId="14" fillId="4" borderId="3" xfId="0" applyNumberFormat="1" applyFont="1" applyFill="1" applyBorder="1"/>
    <xf numFmtId="3" fontId="16" fillId="4" borderId="3" xfId="0" applyFont="1" applyFill="1" applyBorder="1"/>
    <xf numFmtId="49" fontId="14" fillId="4" borderId="0" xfId="0" applyNumberFormat="1" applyFont="1" applyFill="1"/>
    <xf numFmtId="3" fontId="13" fillId="4" borderId="0" xfId="0" applyFont="1" applyFill="1"/>
    <xf numFmtId="49" fontId="14" fillId="4" borderId="12" xfId="0" applyNumberFormat="1" applyFont="1" applyFill="1" applyBorder="1"/>
    <xf numFmtId="3" fontId="16" fillId="4" borderId="12" xfId="0" applyFont="1" applyFill="1" applyBorder="1"/>
    <xf numFmtId="3" fontId="14" fillId="3" borderId="12" xfId="0" applyFont="1" applyFill="1" applyBorder="1"/>
    <xf numFmtId="49" fontId="14" fillId="4" borderId="11" xfId="0" applyNumberFormat="1" applyFont="1" applyFill="1" applyBorder="1"/>
    <xf numFmtId="3" fontId="13" fillId="4" borderId="11" xfId="0" applyFont="1" applyFill="1" applyBorder="1"/>
    <xf numFmtId="49" fontId="14" fillId="4" borderId="20" xfId="0" applyNumberFormat="1" applyFont="1" applyFill="1" applyBorder="1"/>
    <xf numFmtId="3" fontId="14" fillId="3" borderId="20" xfId="0" applyFont="1" applyFill="1" applyBorder="1"/>
    <xf numFmtId="49" fontId="14" fillId="4" borderId="13" xfId="0" applyNumberFormat="1" applyFont="1" applyFill="1" applyBorder="1"/>
    <xf numFmtId="3" fontId="13" fillId="4" borderId="13" xfId="0" applyFont="1" applyFill="1" applyBorder="1"/>
    <xf numFmtId="3" fontId="13" fillId="0" borderId="3" xfId="0" applyFont="1" applyBorder="1" applyAlignment="1">
      <alignment horizontal="center"/>
    </xf>
    <xf numFmtId="3" fontId="13" fillId="0" borderId="21" xfId="0" applyFont="1" applyBorder="1" applyAlignment="1">
      <alignment horizontal="center"/>
    </xf>
    <xf numFmtId="3" fontId="13" fillId="0" borderId="25" xfId="0" applyFont="1" applyBorder="1" applyAlignment="1">
      <alignment horizontal="center"/>
    </xf>
    <xf numFmtId="3" fontId="13" fillId="0" borderId="12" xfId="0" applyFont="1" applyBorder="1" applyAlignment="1">
      <alignment horizontal="center"/>
    </xf>
    <xf numFmtId="3" fontId="13" fillId="0" borderId="26" xfId="0" applyFont="1" applyBorder="1" applyAlignment="1">
      <alignment horizontal="center"/>
    </xf>
    <xf numFmtId="3" fontId="13" fillId="0" borderId="24" xfId="0" applyFont="1" applyBorder="1" applyAlignment="1">
      <alignment horizontal="center"/>
    </xf>
    <xf numFmtId="3" fontId="13" fillId="0" borderId="27" xfId="0" applyFont="1" applyBorder="1" applyAlignment="1">
      <alignment horizontal="center"/>
    </xf>
    <xf numFmtId="3" fontId="13" fillId="0" borderId="20" xfId="0" applyFont="1" applyBorder="1" applyAlignment="1">
      <alignment horizontal="center"/>
    </xf>
    <xf numFmtId="3" fontId="5" fillId="0" borderId="11" xfId="0" applyFont="1" applyBorder="1"/>
    <xf numFmtId="3" fontId="10" fillId="0" borderId="3" xfId="0" applyFont="1" applyBorder="1" applyProtection="1">
      <protection locked="0"/>
    </xf>
    <xf numFmtId="3" fontId="13" fillId="4" borderId="2" xfId="0" applyFont="1" applyFill="1" applyBorder="1" applyAlignment="1">
      <alignment horizontal="left"/>
    </xf>
    <xf numFmtId="3" fontId="13" fillId="4" borderId="2" xfId="0" applyFont="1" applyFill="1" applyBorder="1" applyAlignment="1">
      <alignment horizontal="center"/>
    </xf>
    <xf numFmtId="3" fontId="13" fillId="4" borderId="7" xfId="0" applyFont="1" applyFill="1" applyBorder="1" applyAlignment="1">
      <alignment horizontal="center"/>
    </xf>
    <xf numFmtId="3" fontId="14" fillId="4" borderId="8" xfId="0" applyFont="1" applyFill="1" applyBorder="1"/>
    <xf numFmtId="3" fontId="13" fillId="4" borderId="8" xfId="0" applyFont="1" applyFill="1" applyBorder="1"/>
    <xf numFmtId="3" fontId="13" fillId="4" borderId="9" xfId="0" applyFont="1" applyFill="1" applyBorder="1" applyAlignment="1">
      <alignment horizontal="center"/>
    </xf>
    <xf numFmtId="3" fontId="14" fillId="4" borderId="0" xfId="0" applyFont="1" applyFill="1" applyAlignment="1">
      <alignment horizontal="center"/>
    </xf>
    <xf numFmtId="3" fontId="14" fillId="4" borderId="1" xfId="0" applyFont="1" applyFill="1" applyBorder="1"/>
    <xf numFmtId="3" fontId="14" fillId="4" borderId="5" xfId="0" quotePrefix="1" applyFont="1" applyFill="1" applyBorder="1"/>
    <xf numFmtId="3" fontId="15" fillId="4" borderId="0" xfId="0" applyFont="1" applyFill="1"/>
    <xf numFmtId="3" fontId="13" fillId="4" borderId="3" xfId="0" applyFont="1" applyFill="1" applyBorder="1" applyAlignment="1">
      <alignment horizontal="center"/>
    </xf>
    <xf numFmtId="3" fontId="13" fillId="4" borderId="3" xfId="0" applyFont="1" applyFill="1" applyBorder="1" applyAlignment="1">
      <alignment horizontal="center" wrapText="1"/>
    </xf>
    <xf numFmtId="10" fontId="14" fillId="4" borderId="3" xfId="0" applyNumberFormat="1" applyFont="1" applyFill="1" applyBorder="1"/>
    <xf numFmtId="10" fontId="14" fillId="4" borderId="0" xfId="0" applyNumberFormat="1" applyFont="1" applyFill="1"/>
    <xf numFmtId="164" fontId="14" fillId="4" borderId="0" xfId="0" applyNumberFormat="1" applyFont="1" applyFill="1"/>
    <xf numFmtId="3" fontId="40" fillId="4" borderId="0" xfId="0" applyFont="1" applyFill="1"/>
    <xf numFmtId="164" fontId="40" fillId="4" borderId="3" xfId="0" applyNumberFormat="1" applyFont="1" applyFill="1" applyBorder="1"/>
    <xf numFmtId="10" fontId="14" fillId="0" borderId="3" xfId="0" applyNumberFormat="1" applyFont="1" applyBorder="1"/>
    <xf numFmtId="3" fontId="2" fillId="4" borderId="0" xfId="0" applyFont="1" applyFill="1" applyAlignment="1">
      <alignment vertical="top"/>
    </xf>
    <xf numFmtId="3" fontId="2" fillId="4" borderId="0" xfId="0" applyFont="1" applyFill="1" applyAlignment="1">
      <alignment horizontal="left"/>
    </xf>
    <xf numFmtId="3" fontId="40" fillId="4" borderId="3" xfId="0" applyFont="1" applyFill="1" applyBorder="1" applyAlignment="1">
      <alignment horizontal="center"/>
    </xf>
    <xf numFmtId="1" fontId="10" fillId="0" borderId="0" xfId="0" applyNumberFormat="1" applyFont="1" applyAlignment="1">
      <alignment horizontal="center"/>
    </xf>
    <xf numFmtId="3" fontId="68" fillId="0" borderId="0" xfId="0" applyFont="1" applyAlignment="1">
      <alignment horizontal="right"/>
    </xf>
    <xf numFmtId="1" fontId="64" fillId="0" borderId="0" xfId="0" applyNumberFormat="1" applyFont="1" applyAlignment="1">
      <alignment vertical="top" wrapText="1"/>
    </xf>
    <xf numFmtId="0" fontId="14" fillId="4" borderId="3" xfId="0" applyNumberFormat="1" applyFont="1" applyFill="1" applyBorder="1" applyAlignment="1">
      <alignment horizontal="left"/>
    </xf>
    <xf numFmtId="49" fontId="14" fillId="4" borderId="11" xfId="0" applyNumberFormat="1" applyFont="1" applyFill="1" applyBorder="1" applyAlignment="1">
      <alignment horizontal="left"/>
    </xf>
    <xf numFmtId="0" fontId="14" fillId="4" borderId="12" xfId="0" applyNumberFormat="1" applyFont="1" applyFill="1" applyBorder="1" applyAlignment="1">
      <alignment horizontal="left"/>
    </xf>
    <xf numFmtId="0" fontId="14" fillId="4" borderId="20" xfId="0" applyNumberFormat="1" applyFont="1" applyFill="1" applyBorder="1" applyAlignment="1">
      <alignment horizontal="left"/>
    </xf>
    <xf numFmtId="3" fontId="10" fillId="0" borderId="3" xfId="0" applyFont="1" applyBorder="1"/>
    <xf numFmtId="3" fontId="71" fillId="4" borderId="3" xfId="0" applyFont="1" applyFill="1" applyBorder="1" applyAlignment="1">
      <alignment horizontal="center"/>
    </xf>
    <xf numFmtId="3" fontId="97" fillId="0" borderId="0" xfId="0" applyFont="1" applyAlignment="1">
      <alignment horizontal="left" vertical="center"/>
    </xf>
    <xf numFmtId="3" fontId="0" fillId="0" borderId="0" xfId="0" applyAlignment="1">
      <alignment wrapText="1"/>
    </xf>
    <xf numFmtId="0" fontId="99" fillId="0" borderId="0" xfId="9" applyFont="1" applyAlignment="1" applyProtection="1">
      <alignment horizontal="left" vertical="top" wrapText="1"/>
      <protection hidden="1"/>
    </xf>
    <xf numFmtId="3" fontId="0" fillId="10" borderId="70" xfId="0" applyFill="1" applyBorder="1" applyAlignment="1">
      <alignment horizontal="center" vertical="center"/>
    </xf>
    <xf numFmtId="3" fontId="100" fillId="11" borderId="0" xfId="0" applyFont="1" applyFill="1" applyAlignment="1">
      <alignment horizontal="center" vertical="center" wrapText="1"/>
    </xf>
    <xf numFmtId="3" fontId="0" fillId="0" borderId="28" xfId="0" applyBorder="1"/>
    <xf numFmtId="3" fontId="0" fillId="0" borderId="29" xfId="0" applyBorder="1"/>
    <xf numFmtId="3" fontId="101" fillId="0" borderId="0" xfId="0" applyFont="1" applyAlignment="1">
      <alignment vertical="top"/>
    </xf>
    <xf numFmtId="3" fontId="102" fillId="0" borderId="30" xfId="0" applyFont="1" applyBorder="1" applyAlignment="1">
      <alignment horizontal="center" vertical="center" wrapText="1"/>
    </xf>
    <xf numFmtId="3" fontId="102" fillId="0" borderId="0" xfId="0" applyFont="1" applyAlignment="1">
      <alignment horizontal="center" wrapText="1"/>
    </xf>
    <xf numFmtId="3" fontId="100" fillId="0" borderId="0" xfId="0" applyFont="1"/>
    <xf numFmtId="3" fontId="0" fillId="0" borderId="0" xfId="0" applyAlignment="1">
      <alignment vertical="center" wrapText="1"/>
    </xf>
    <xf numFmtId="3" fontId="0" fillId="0" borderId="30" xfId="0" applyBorder="1" applyAlignment="1">
      <alignment wrapText="1"/>
    </xf>
    <xf numFmtId="3" fontId="0" fillId="0" borderId="0" xfId="0" applyAlignment="1">
      <alignment horizontal="left" vertical="center" wrapText="1"/>
    </xf>
    <xf numFmtId="44" fontId="0" fillId="0" borderId="0" xfId="4" applyFont="1"/>
    <xf numFmtId="168" fontId="0" fillId="0" borderId="0" xfId="4" applyNumberFormat="1" applyFont="1"/>
    <xf numFmtId="168" fontId="3" fillId="12" borderId="30" xfId="4" applyNumberFormat="1" applyFont="1" applyFill="1" applyBorder="1"/>
    <xf numFmtId="168" fontId="0" fillId="0" borderId="0" xfId="4" applyNumberFormat="1" applyFont="1" applyFill="1" applyBorder="1"/>
    <xf numFmtId="44" fontId="0" fillId="0" borderId="0" xfId="4" applyFont="1" applyFill="1" applyBorder="1"/>
    <xf numFmtId="3" fontId="0" fillId="0" borderId="0" xfId="0" applyAlignment="1">
      <alignment horizontal="center" vertical="center" wrapText="1"/>
    </xf>
    <xf numFmtId="168" fontId="0" fillId="12" borderId="30" xfId="0" applyNumberFormat="1" applyFill="1" applyBorder="1"/>
    <xf numFmtId="3" fontId="103" fillId="0" borderId="0" xfId="0" applyFont="1" applyAlignment="1">
      <alignment vertical="center" wrapText="1"/>
    </xf>
    <xf numFmtId="3" fontId="8" fillId="0" borderId="0" xfId="0" applyFont="1" applyProtection="1">
      <protection locked="0"/>
    </xf>
    <xf numFmtId="3" fontId="77" fillId="0" borderId="0" xfId="0" applyFont="1"/>
    <xf numFmtId="3" fontId="14" fillId="3" borderId="31" xfId="0" applyFont="1" applyFill="1" applyBorder="1"/>
    <xf numFmtId="3" fontId="13" fillId="0" borderId="3" xfId="0" applyFont="1" applyBorder="1" applyAlignment="1">
      <alignment horizontal="center" vertical="center" wrapText="1"/>
    </xf>
    <xf numFmtId="10" fontId="14" fillId="4" borderId="3" xfId="14" applyNumberFormat="1" applyFont="1" applyFill="1" applyBorder="1" applyAlignment="1" applyProtection="1"/>
    <xf numFmtId="3" fontId="104" fillId="0" borderId="0" xfId="0" applyFont="1" applyAlignment="1">
      <alignment vertical="center"/>
    </xf>
    <xf numFmtId="3" fontId="102" fillId="0" borderId="0" xfId="0" applyFont="1" applyAlignment="1">
      <alignment horizontal="center" vertical="center" wrapText="1"/>
    </xf>
    <xf numFmtId="3" fontId="20" fillId="4" borderId="0" xfId="6" applyNumberFormat="1" applyFill="1" applyBorder="1" applyAlignment="1" applyProtection="1"/>
    <xf numFmtId="1" fontId="20" fillId="0" borderId="0" xfId="6" applyNumberFormat="1" applyFill="1" applyBorder="1" applyAlignment="1" applyProtection="1">
      <alignment horizontal="left"/>
    </xf>
    <xf numFmtId="43" fontId="10" fillId="4" borderId="0" xfId="1" applyFont="1" applyFill="1" applyAlignment="1"/>
    <xf numFmtId="3" fontId="104" fillId="0" borderId="0" xfId="0" applyFont="1" applyAlignment="1">
      <alignment vertical="center" wrapText="1"/>
    </xf>
    <xf numFmtId="1" fontId="27" fillId="0" borderId="0" xfId="0" applyNumberFormat="1" applyFont="1" applyAlignment="1">
      <alignment horizontal="left"/>
    </xf>
    <xf numFmtId="3" fontId="0" fillId="0" borderId="21" xfId="0" applyBorder="1"/>
    <xf numFmtId="3" fontId="0" fillId="0" borderId="11" xfId="0" applyBorder="1"/>
    <xf numFmtId="1" fontId="11" fillId="4" borderId="0" xfId="0" applyNumberFormat="1" applyFont="1" applyFill="1"/>
    <xf numFmtId="3" fontId="100" fillId="0" borderId="0" xfId="0" applyFont="1" applyAlignment="1">
      <alignment horizontal="right" vertical="center"/>
    </xf>
    <xf numFmtId="3" fontId="55" fillId="13" borderId="3" xfId="0" applyFont="1" applyFill="1" applyBorder="1"/>
    <xf numFmtId="3" fontId="20" fillId="13" borderId="12" xfId="6" applyNumberFormat="1" applyFill="1" applyBorder="1" applyAlignment="1" applyProtection="1"/>
    <xf numFmtId="3" fontId="20" fillId="13" borderId="24" xfId="6" applyNumberFormat="1" applyFill="1" applyBorder="1" applyAlignment="1" applyProtection="1"/>
    <xf numFmtId="3" fontId="0" fillId="13" borderId="24" xfId="0" applyFill="1" applyBorder="1"/>
    <xf numFmtId="3" fontId="55" fillId="13" borderId="20" xfId="0" applyFont="1" applyFill="1" applyBorder="1"/>
    <xf numFmtId="0" fontId="0" fillId="0" borderId="0" xfId="0" applyNumberFormat="1"/>
    <xf numFmtId="3" fontId="81" fillId="0" borderId="0" xfId="0" applyFont="1"/>
    <xf numFmtId="3" fontId="13" fillId="0" borderId="11" xfId="0" applyFont="1" applyBorder="1" applyAlignment="1">
      <alignment horizontal="center"/>
    </xf>
    <xf numFmtId="3" fontId="18" fillId="0" borderId="0" xfId="0" applyFont="1" applyAlignment="1">
      <alignment horizontal="center"/>
    </xf>
    <xf numFmtId="3" fontId="18" fillId="0" borderId="0" xfId="0" applyFont="1" applyAlignment="1">
      <alignment horizontal="left"/>
    </xf>
    <xf numFmtId="3" fontId="18" fillId="0" borderId="0" xfId="0" applyFont="1"/>
    <xf numFmtId="3" fontId="32" fillId="0" borderId="0" xfId="0" applyFont="1"/>
    <xf numFmtId="3" fontId="32" fillId="0" borderId="0" xfId="0" applyFont="1" applyAlignment="1">
      <alignment horizontal="left"/>
    </xf>
    <xf numFmtId="3" fontId="39" fillId="0" borderId="0" xfId="0" applyFont="1"/>
    <xf numFmtId="3" fontId="14" fillId="0" borderId="0" xfId="0" applyFont="1" applyAlignment="1">
      <alignment horizontal="centerContinuous"/>
    </xf>
    <xf numFmtId="0" fontId="14" fillId="0" borderId="2" xfId="0" applyNumberFormat="1" applyFont="1" applyBorder="1" applyAlignment="1">
      <alignment horizontal="left"/>
    </xf>
    <xf numFmtId="3" fontId="56" fillId="0" borderId="0" xfId="0" applyFont="1"/>
    <xf numFmtId="3" fontId="13" fillId="1" borderId="2" xfId="0" applyFont="1" applyFill="1" applyBorder="1" applyAlignment="1">
      <alignment horizontal="left"/>
    </xf>
    <xf numFmtId="3" fontId="13" fillId="1" borderId="2" xfId="0" applyFont="1" applyFill="1" applyBorder="1"/>
    <xf numFmtId="3" fontId="13" fillId="0" borderId="2" xfId="0" applyFont="1" applyBorder="1"/>
    <xf numFmtId="3" fontId="14" fillId="0" borderId="32" xfId="0" applyFont="1" applyBorder="1"/>
    <xf numFmtId="3" fontId="14" fillId="0" borderId="33" xfId="0" applyFont="1" applyBorder="1"/>
    <xf numFmtId="3" fontId="13" fillId="0" borderId="1" xfId="0" applyFont="1" applyBorder="1"/>
    <xf numFmtId="3" fontId="13" fillId="0" borderId="1" xfId="0" applyFont="1" applyBorder="1" applyAlignment="1">
      <alignment horizontal="center"/>
    </xf>
    <xf numFmtId="3" fontId="14" fillId="3" borderId="33" xfId="0" applyFont="1" applyFill="1" applyBorder="1"/>
    <xf numFmtId="3" fontId="14" fillId="3" borderId="34" xfId="0" applyFont="1" applyFill="1" applyBorder="1"/>
    <xf numFmtId="3" fontId="14" fillId="3" borderId="1" xfId="0" applyFont="1" applyFill="1" applyBorder="1"/>
    <xf numFmtId="3" fontId="14" fillId="3" borderId="0" xfId="0" applyFont="1" applyFill="1"/>
    <xf numFmtId="3" fontId="14" fillId="3" borderId="8" xfId="0" applyFont="1" applyFill="1" applyBorder="1"/>
    <xf numFmtId="3" fontId="14" fillId="3" borderId="35" xfId="0" applyFont="1" applyFill="1" applyBorder="1"/>
    <xf numFmtId="0" fontId="14" fillId="0" borderId="36" xfId="0" applyNumberFormat="1" applyFont="1" applyBorder="1" applyAlignment="1">
      <alignment horizontal="left"/>
    </xf>
    <xf numFmtId="3" fontId="13" fillId="0" borderId="32" xfId="0" applyFont="1" applyBorder="1"/>
    <xf numFmtId="3" fontId="14" fillId="3" borderId="37" xfId="0" applyFont="1" applyFill="1" applyBorder="1"/>
    <xf numFmtId="3" fontId="14" fillId="3" borderId="17" xfId="0" applyFont="1" applyFill="1" applyBorder="1"/>
    <xf numFmtId="3" fontId="14" fillId="3" borderId="4" xfId="0" applyFont="1" applyFill="1" applyBorder="1"/>
    <xf numFmtId="3" fontId="14" fillId="0" borderId="0" xfId="0" applyFont="1" applyAlignment="1">
      <alignment horizontal="center" vertical="top" wrapText="1"/>
    </xf>
    <xf numFmtId="3" fontId="43" fillId="0" borderId="0" xfId="0" quotePrefix="1" applyFont="1"/>
    <xf numFmtId="0" fontId="14" fillId="0" borderId="6" xfId="0" applyNumberFormat="1" applyFont="1" applyBorder="1" applyAlignment="1">
      <alignment horizontal="left"/>
    </xf>
    <xf numFmtId="3" fontId="14" fillId="0" borderId="33" xfId="0" applyFont="1" applyBorder="1" applyAlignment="1">
      <alignment horizontal="left"/>
    </xf>
    <xf numFmtId="3" fontId="14" fillId="0" borderId="2" xfId="0" applyFont="1" applyBorder="1" applyAlignment="1">
      <alignment horizontal="left"/>
    </xf>
    <xf numFmtId="3" fontId="14" fillId="0" borderId="5" xfId="0" applyFont="1" applyBorder="1" applyAlignment="1">
      <alignment horizontal="left"/>
    </xf>
    <xf numFmtId="3" fontId="14" fillId="0" borderId="3" xfId="0" applyFont="1" applyBorder="1" applyAlignment="1">
      <alignment horizontal="left"/>
    </xf>
    <xf numFmtId="3" fontId="16" fillId="0" borderId="3" xfId="0" applyFont="1" applyBorder="1"/>
    <xf numFmtId="3" fontId="14" fillId="3" borderId="38" xfId="0" applyFont="1" applyFill="1" applyBorder="1"/>
    <xf numFmtId="3" fontId="14" fillId="3" borderId="39" xfId="0" applyFont="1" applyFill="1" applyBorder="1"/>
    <xf numFmtId="3" fontId="14" fillId="3" borderId="18" xfId="0" applyFont="1" applyFill="1" applyBorder="1"/>
    <xf numFmtId="3" fontId="14" fillId="0" borderId="11" xfId="0" applyFont="1" applyBorder="1" applyAlignment="1">
      <alignment horizontal="left"/>
    </xf>
    <xf numFmtId="3" fontId="14" fillId="0" borderId="17" xfId="0" applyFont="1" applyBorder="1" applyAlignment="1">
      <alignment horizontal="left"/>
    </xf>
    <xf numFmtId="3" fontId="36" fillId="0" borderId="0" xfId="0" applyFont="1" applyAlignment="1">
      <alignment horizontal="center" vertical="center"/>
    </xf>
    <xf numFmtId="1" fontId="14" fillId="0" borderId="3" xfId="0" applyNumberFormat="1" applyFont="1" applyBorder="1" applyAlignment="1">
      <alignment horizontal="left"/>
    </xf>
    <xf numFmtId="1" fontId="14" fillId="0" borderId="0" xfId="0" applyNumberFormat="1" applyFont="1" applyAlignment="1">
      <alignment horizontal="left"/>
    </xf>
    <xf numFmtId="1" fontId="13" fillId="1" borderId="3" xfId="0" applyNumberFormat="1" applyFont="1" applyFill="1" applyBorder="1" applyAlignment="1">
      <alignment horizontal="left"/>
    </xf>
    <xf numFmtId="3" fontId="13" fillId="1" borderId="3" xfId="0" applyFont="1" applyFill="1" applyBorder="1"/>
    <xf numFmtId="3" fontId="16" fillId="1" borderId="3" xfId="0" applyFont="1" applyFill="1" applyBorder="1"/>
    <xf numFmtId="3" fontId="14" fillId="0" borderId="15" xfId="0" applyFont="1" applyBorder="1"/>
    <xf numFmtId="3" fontId="16" fillId="0" borderId="15" xfId="0" applyFont="1" applyBorder="1"/>
    <xf numFmtId="3" fontId="14" fillId="0" borderId="0" xfId="0" applyFont="1" applyAlignment="1">
      <alignment horizontal="left"/>
    </xf>
    <xf numFmtId="3" fontId="16" fillId="0" borderId="0" xfId="0" applyFont="1"/>
    <xf numFmtId="3" fontId="13" fillId="0" borderId="17" xfId="0" applyFont="1" applyBorder="1"/>
    <xf numFmtId="3" fontId="48" fillId="0" borderId="0" xfId="0" applyFont="1" applyAlignment="1">
      <alignment horizontal="center"/>
    </xf>
    <xf numFmtId="3" fontId="48" fillId="0" borderId="0" xfId="0" applyFont="1" applyAlignment="1">
      <alignment horizontal="center" vertical="top"/>
    </xf>
    <xf numFmtId="3" fontId="36" fillId="0" borderId="0" xfId="0" applyFont="1" applyAlignment="1">
      <alignment horizontal="center"/>
    </xf>
    <xf numFmtId="3" fontId="13" fillId="0" borderId="11" xfId="0" applyFont="1" applyBorder="1" applyAlignment="1">
      <alignment horizontal="left"/>
    </xf>
    <xf numFmtId="3" fontId="14" fillId="0" borderId="3" xfId="0" quotePrefix="1" applyFont="1" applyBorder="1"/>
    <xf numFmtId="1" fontId="14" fillId="0" borderId="34" xfId="0" applyNumberFormat="1" applyFont="1" applyBorder="1" applyAlignment="1">
      <alignment horizontal="left"/>
    </xf>
    <xf numFmtId="3" fontId="14" fillId="0" borderId="0" xfId="0" quotePrefix="1" applyFont="1"/>
    <xf numFmtId="3" fontId="36" fillId="0" borderId="0" xfId="0" applyFont="1"/>
    <xf numFmtId="3" fontId="1" fillId="0" borderId="0" xfId="0" applyFont="1"/>
    <xf numFmtId="3" fontId="50" fillId="0" borderId="0" xfId="0" applyFont="1"/>
    <xf numFmtId="3" fontId="14" fillId="3" borderId="15" xfId="0" applyFont="1" applyFill="1" applyBorder="1"/>
    <xf numFmtId="3" fontId="51" fillId="0" borderId="0" xfId="0" applyFont="1"/>
    <xf numFmtId="3" fontId="14" fillId="0" borderId="4" xfId="0" applyFont="1" applyBorder="1"/>
    <xf numFmtId="3" fontId="14" fillId="0" borderId="20" xfId="0" applyFont="1" applyBorder="1"/>
    <xf numFmtId="1" fontId="14" fillId="0" borderId="11" xfId="0" applyNumberFormat="1" applyFont="1" applyBorder="1" applyAlignment="1">
      <alignment horizontal="left"/>
    </xf>
    <xf numFmtId="3" fontId="8" fillId="0" borderId="3" xfId="0" applyFont="1" applyBorder="1"/>
    <xf numFmtId="3" fontId="8" fillId="0" borderId="0" xfId="0" applyFont="1"/>
    <xf numFmtId="3" fontId="13" fillId="0" borderId="35" xfId="0" applyFont="1" applyBorder="1" applyAlignment="1">
      <alignment horizontal="left"/>
    </xf>
    <xf numFmtId="3" fontId="8" fillId="1" borderId="2" xfId="0" applyFont="1" applyFill="1" applyBorder="1" applyAlignment="1">
      <alignment horizontal="center"/>
    </xf>
    <xf numFmtId="3" fontId="8" fillId="1" borderId="8" xfId="0" applyFont="1" applyFill="1" applyBorder="1" applyAlignment="1">
      <alignment horizontal="center"/>
    </xf>
    <xf numFmtId="3" fontId="3" fillId="0" borderId="14" xfId="0" applyFont="1" applyBorder="1"/>
    <xf numFmtId="3" fontId="13" fillId="0" borderId="6" xfId="0" applyFont="1" applyBorder="1" applyAlignment="1">
      <alignment horizontal="center"/>
    </xf>
    <xf numFmtId="3" fontId="14" fillId="0" borderId="8" xfId="0" applyFont="1" applyBorder="1" applyAlignment="1">
      <alignment horizontal="right"/>
    </xf>
    <xf numFmtId="3" fontId="13" fillId="0" borderId="8" xfId="0" applyFont="1" applyBorder="1" applyAlignment="1">
      <alignment horizontal="center"/>
    </xf>
    <xf numFmtId="3" fontId="14" fillId="0" borderId="35" xfId="0" applyFont="1" applyBorder="1"/>
    <xf numFmtId="0" fontId="14" fillId="0" borderId="40" xfId="0" applyNumberFormat="1" applyFont="1" applyBorder="1" applyAlignment="1">
      <alignment horizontal="left"/>
    </xf>
    <xf numFmtId="3" fontId="13" fillId="0" borderId="40" xfId="0" applyFont="1" applyBorder="1"/>
    <xf numFmtId="3" fontId="14" fillId="0" borderId="40" xfId="0" applyFont="1" applyBorder="1"/>
    <xf numFmtId="49" fontId="14" fillId="0" borderId="0" xfId="0" applyNumberFormat="1" applyFont="1"/>
    <xf numFmtId="3" fontId="14" fillId="0" borderId="17" xfId="0" applyFont="1" applyBorder="1"/>
    <xf numFmtId="1" fontId="14" fillId="0" borderId="26" xfId="0" applyNumberFormat="1" applyFont="1" applyBorder="1"/>
    <xf numFmtId="1" fontId="14" fillId="0" borderId="17" xfId="0" applyNumberFormat="1" applyFont="1" applyBorder="1" applyAlignment="1">
      <alignment horizontal="left"/>
    </xf>
    <xf numFmtId="0" fontId="14" fillId="0" borderId="3" xfId="0" applyNumberFormat="1" applyFont="1" applyBorder="1" applyAlignment="1">
      <alignment horizontal="left"/>
    </xf>
    <xf numFmtId="3" fontId="7" fillId="0" borderId="0" xfId="0" applyFont="1"/>
    <xf numFmtId="3" fontId="14" fillId="0" borderId="0" xfId="0" applyFont="1" applyAlignment="1">
      <alignment horizontal="center"/>
    </xf>
    <xf numFmtId="3" fontId="8" fillId="0" borderId="5" xfId="0" applyFont="1" applyBorder="1" applyAlignment="1">
      <alignment horizontal="center"/>
    </xf>
    <xf numFmtId="3" fontId="8" fillId="0" borderId="41" xfId="0" applyFont="1" applyBorder="1" applyAlignment="1">
      <alignment horizontal="center"/>
    </xf>
    <xf numFmtId="3" fontId="8" fillId="0" borderId="14" xfId="0" quotePrefix="1" applyFont="1" applyBorder="1" applyAlignment="1">
      <alignment horizontal="center"/>
    </xf>
    <xf numFmtId="3" fontId="8" fillId="0" borderId="7" xfId="0" applyFont="1" applyBorder="1" applyAlignment="1">
      <alignment horizontal="center"/>
    </xf>
    <xf numFmtId="3" fontId="8" fillId="0" borderId="23" xfId="0" applyFont="1" applyBorder="1"/>
    <xf numFmtId="3" fontId="8" fillId="0" borderId="8" xfId="0" quotePrefix="1" applyFont="1" applyBorder="1" applyAlignment="1">
      <alignment horizontal="center"/>
    </xf>
    <xf numFmtId="3" fontId="8" fillId="0" borderId="37" xfId="0" quotePrefix="1" applyFont="1" applyBorder="1" applyAlignment="1">
      <alignment horizontal="center"/>
    </xf>
    <xf numFmtId="3" fontId="8" fillId="0" borderId="42" xfId="0" quotePrefix="1" applyFont="1" applyBorder="1" applyAlignment="1">
      <alignment horizontal="center"/>
    </xf>
    <xf numFmtId="3" fontId="8" fillId="0" borderId="42" xfId="0" applyFont="1" applyBorder="1" applyAlignment="1">
      <alignment horizontal="center"/>
    </xf>
    <xf numFmtId="1" fontId="14" fillId="0" borderId="2" xfId="0" applyNumberFormat="1" applyFont="1" applyBorder="1" applyAlignment="1">
      <alignment horizontal="left"/>
    </xf>
    <xf numFmtId="3" fontId="13" fillId="0" borderId="1" xfId="0" applyFont="1" applyBorder="1" applyAlignment="1">
      <alignment horizontal="left"/>
    </xf>
    <xf numFmtId="3" fontId="13" fillId="0" borderId="5" xfId="0" applyFont="1" applyBorder="1" applyAlignment="1">
      <alignment horizontal="center"/>
    </xf>
    <xf numFmtId="3" fontId="13" fillId="0" borderId="2" xfId="0" applyFont="1" applyBorder="1" applyAlignment="1">
      <alignment horizontal="center"/>
    </xf>
    <xf numFmtId="3" fontId="13" fillId="0" borderId="40" xfId="0" applyFont="1" applyBorder="1" applyAlignment="1">
      <alignment horizontal="center"/>
    </xf>
    <xf numFmtId="3" fontId="13" fillId="0" borderId="43" xfId="0" applyFont="1" applyBorder="1" applyAlignment="1">
      <alignment horizontal="center"/>
    </xf>
    <xf numFmtId="3" fontId="13" fillId="0" borderId="33" xfId="0" applyFont="1" applyBorder="1" applyAlignment="1">
      <alignment horizontal="center"/>
    </xf>
    <xf numFmtId="3" fontId="7" fillId="0" borderId="8" xfId="0" applyFont="1" applyBorder="1" applyAlignment="1">
      <alignment vertical="top"/>
    </xf>
    <xf numFmtId="3" fontId="7" fillId="0" borderId="0" xfId="0" applyFont="1" applyAlignment="1">
      <alignment horizontal="center"/>
    </xf>
    <xf numFmtId="3" fontId="7" fillId="0" borderId="8" xfId="0" applyFont="1" applyBorder="1" applyAlignment="1">
      <alignment horizontal="center" vertical="top" wrapText="1"/>
    </xf>
    <xf numFmtId="3" fontId="7" fillId="0" borderId="8" xfId="0" quotePrefix="1" applyFont="1" applyBorder="1" applyAlignment="1">
      <alignment horizontal="center"/>
    </xf>
    <xf numFmtId="3" fontId="7" fillId="0" borderId="8" xfId="0" applyFont="1" applyBorder="1" applyAlignment="1">
      <alignment horizontal="center"/>
    </xf>
    <xf numFmtId="3" fontId="37" fillId="0" borderId="8" xfId="0" applyFont="1" applyBorder="1"/>
    <xf numFmtId="3" fontId="37" fillId="0" borderId="0" xfId="0" applyFont="1"/>
    <xf numFmtId="3" fontId="37" fillId="0" borderId="8" xfId="0" applyFont="1" applyBorder="1" applyAlignment="1">
      <alignment horizontal="center"/>
    </xf>
    <xf numFmtId="3" fontId="37" fillId="0" borderId="8" xfId="0" quotePrefix="1" applyFont="1" applyBorder="1" applyAlignment="1">
      <alignment horizontal="center"/>
    </xf>
    <xf numFmtId="3" fontId="37" fillId="0" borderId="23" xfId="0" quotePrefix="1" applyFont="1" applyBorder="1" applyAlignment="1">
      <alignment horizontal="center"/>
    </xf>
    <xf numFmtId="3" fontId="37" fillId="0" borderId="23" xfId="0" applyFont="1" applyBorder="1" applyAlignment="1">
      <alignment horizontal="center"/>
    </xf>
    <xf numFmtId="3" fontId="37" fillId="0" borderId="44" xfId="0" applyFont="1" applyBorder="1"/>
    <xf numFmtId="3" fontId="37" fillId="0" borderId="2" xfId="0" applyFont="1" applyBorder="1" applyAlignment="1">
      <alignment horizontal="center"/>
    </xf>
    <xf numFmtId="3" fontId="14" fillId="0" borderId="14" xfId="0" applyFont="1" applyBorder="1"/>
    <xf numFmtId="3" fontId="37" fillId="0" borderId="12" xfId="0" applyFont="1" applyBorder="1" applyAlignment="1">
      <alignment horizontal="center" wrapText="1"/>
    </xf>
    <xf numFmtId="3" fontId="42" fillId="0" borderId="45" xfId="0" applyFont="1" applyBorder="1" applyAlignment="1">
      <alignment horizontal="center"/>
    </xf>
    <xf numFmtId="3" fontId="9" fillId="0" borderId="1" xfId="0" applyFont="1" applyBorder="1"/>
    <xf numFmtId="3" fontId="14" fillId="0" borderId="5" xfId="0" quotePrefix="1" applyFont="1" applyBorder="1"/>
    <xf numFmtId="49" fontId="14" fillId="0" borderId="5" xfId="0" applyNumberFormat="1" applyFont="1" applyBorder="1"/>
    <xf numFmtId="49" fontId="14" fillId="0" borderId="1" xfId="0" applyNumberFormat="1" applyFont="1" applyBorder="1"/>
    <xf numFmtId="49" fontId="14" fillId="0" borderId="2" xfId="0" applyNumberFormat="1" applyFont="1" applyBorder="1"/>
    <xf numFmtId="3" fontId="13" fillId="0" borderId="46" xfId="0" applyFont="1" applyBorder="1"/>
    <xf numFmtId="3" fontId="37" fillId="0" borderId="2" xfId="0" applyFont="1" applyBorder="1" applyAlignment="1">
      <alignment vertical="top"/>
    </xf>
    <xf numFmtId="3" fontId="37" fillId="0" borderId="1" xfId="0" applyFont="1" applyBorder="1" applyAlignment="1">
      <alignment horizontal="center"/>
    </xf>
    <xf numFmtId="3" fontId="37" fillId="0" borderId="2" xfId="0" applyFont="1" applyBorder="1" applyAlignment="1">
      <alignment horizontal="center" vertical="top" wrapText="1"/>
    </xf>
    <xf numFmtId="3" fontId="37" fillId="0" borderId="2" xfId="0" quotePrefix="1" applyFont="1" applyBorder="1" applyAlignment="1">
      <alignment horizontal="center"/>
    </xf>
    <xf numFmtId="3" fontId="37" fillId="0" borderId="7" xfId="0" quotePrefix="1" applyFont="1" applyBorder="1" applyAlignment="1">
      <alignment horizontal="center"/>
    </xf>
    <xf numFmtId="49" fontId="14" fillId="0" borderId="8" xfId="0" applyNumberFormat="1" applyFont="1" applyBorder="1"/>
    <xf numFmtId="3" fontId="13" fillId="0" borderId="35" xfId="0" applyFont="1" applyBorder="1"/>
    <xf numFmtId="3" fontId="37" fillId="0" borderId="8" xfId="0" applyFont="1" applyBorder="1" applyAlignment="1">
      <alignment horizontal="left"/>
    </xf>
    <xf numFmtId="3" fontId="37" fillId="0" borderId="0" xfId="0" applyFont="1" applyAlignment="1">
      <alignment horizontal="left"/>
    </xf>
    <xf numFmtId="3" fontId="37" fillId="0" borderId="44" xfId="0" applyFont="1" applyBorder="1" applyAlignment="1">
      <alignment horizontal="left"/>
    </xf>
    <xf numFmtId="3" fontId="14" fillId="0" borderId="46" xfId="0" applyFont="1" applyBorder="1"/>
    <xf numFmtId="3" fontId="13" fillId="0" borderId="46" xfId="0" applyFont="1" applyBorder="1" applyAlignment="1">
      <alignment horizontal="left"/>
    </xf>
    <xf numFmtId="3" fontId="37" fillId="0" borderId="2" xfId="0" applyFont="1" applyBorder="1"/>
    <xf numFmtId="3" fontId="37" fillId="0" borderId="1" xfId="0" applyFont="1" applyBorder="1"/>
    <xf numFmtId="3" fontId="37" fillId="0" borderId="41" xfId="0" quotePrefix="1" applyFont="1" applyBorder="1" applyAlignment="1">
      <alignment horizontal="center"/>
    </xf>
    <xf numFmtId="3" fontId="37" fillId="0" borderId="44" xfId="0" quotePrefix="1" applyFont="1" applyBorder="1"/>
    <xf numFmtId="3" fontId="14" fillId="0" borderId="44" xfId="0" applyFont="1" applyBorder="1"/>
    <xf numFmtId="3" fontId="14" fillId="0" borderId="47" xfId="0" applyFont="1" applyBorder="1"/>
    <xf numFmtId="3" fontId="37" fillId="0" borderId="7" xfId="0" applyFont="1" applyBorder="1" applyAlignment="1">
      <alignment horizontal="center"/>
    </xf>
    <xf numFmtId="3" fontId="14" fillId="0" borderId="7" xfId="0" quotePrefix="1" applyFont="1" applyBorder="1"/>
    <xf numFmtId="3" fontId="14" fillId="3" borderId="7" xfId="0" applyFont="1" applyFill="1" applyBorder="1"/>
    <xf numFmtId="3" fontId="14" fillId="0" borderId="48" xfId="0" applyFont="1" applyBorder="1"/>
    <xf numFmtId="3" fontId="14" fillId="0" borderId="36" xfId="0" applyFont="1" applyBorder="1"/>
    <xf numFmtId="3" fontId="13" fillId="0" borderId="33" xfId="0" applyFont="1" applyBorder="1"/>
    <xf numFmtId="3" fontId="13" fillId="0" borderId="7" xfId="0" applyFont="1" applyBorder="1"/>
    <xf numFmtId="1" fontId="14" fillId="0" borderId="40" xfId="0" applyNumberFormat="1" applyFont="1" applyBorder="1" applyAlignment="1">
      <alignment horizontal="left"/>
    </xf>
    <xf numFmtId="165" fontId="14" fillId="0" borderId="0" xfId="0" applyNumberFormat="1" applyFont="1"/>
    <xf numFmtId="3" fontId="13" fillId="0" borderId="8" xfId="0" applyFont="1" applyBorder="1"/>
    <xf numFmtId="49" fontId="13" fillId="0" borderId="0" xfId="0" applyNumberFormat="1" applyFont="1" applyAlignment="1">
      <alignment horizontal="left"/>
    </xf>
    <xf numFmtId="0" fontId="13" fillId="1" borderId="2" xfId="0" applyNumberFormat="1" applyFont="1" applyFill="1" applyBorder="1" applyAlignment="1">
      <alignment horizontal="left"/>
    </xf>
    <xf numFmtId="49" fontId="14" fillId="0" borderId="2" xfId="0" applyNumberFormat="1" applyFont="1" applyBorder="1" applyAlignment="1">
      <alignment horizontal="left"/>
    </xf>
    <xf numFmtId="0" fontId="13" fillId="1" borderId="2" xfId="0" quotePrefix="1" applyNumberFormat="1" applyFont="1" applyFill="1" applyBorder="1" applyAlignment="1">
      <alignment horizontal="left"/>
    </xf>
    <xf numFmtId="0" fontId="14" fillId="0" borderId="5" xfId="0" applyNumberFormat="1" applyFont="1" applyBorder="1" applyAlignment="1">
      <alignment horizontal="left"/>
    </xf>
    <xf numFmtId="3" fontId="7" fillId="0" borderId="0" xfId="0" applyFont="1" applyAlignment="1">
      <alignment vertical="center"/>
    </xf>
    <xf numFmtId="3" fontId="8" fillId="0" borderId="0" xfId="0" applyFont="1" applyAlignment="1">
      <alignment horizontal="center"/>
    </xf>
    <xf numFmtId="1" fontId="14" fillId="0" borderId="6" xfId="0" applyNumberFormat="1" applyFont="1" applyBorder="1"/>
    <xf numFmtId="3" fontId="13" fillId="0" borderId="6" xfId="0" applyFont="1" applyBorder="1"/>
    <xf numFmtId="1" fontId="14" fillId="5" borderId="2" xfId="0" applyNumberFormat="1" applyFont="1" applyFill="1" applyBorder="1" applyAlignment="1">
      <alignment horizontal="left"/>
    </xf>
    <xf numFmtId="3" fontId="14" fillId="5" borderId="2" xfId="0" applyFont="1" applyFill="1" applyBorder="1"/>
    <xf numFmtId="1" fontId="13" fillId="1" borderId="2" xfId="0" applyNumberFormat="1" applyFont="1" applyFill="1" applyBorder="1" applyAlignment="1">
      <alignment horizontal="left"/>
    </xf>
    <xf numFmtId="0" fontId="14" fillId="0" borderId="39" xfId="0" applyNumberFormat="1" applyFont="1" applyBorder="1" applyAlignment="1">
      <alignment horizontal="left"/>
    </xf>
    <xf numFmtId="0" fontId="13" fillId="0" borderId="5" xfId="0" applyNumberFormat="1" applyFont="1" applyBorder="1" applyAlignment="1">
      <alignment horizontal="left"/>
    </xf>
    <xf numFmtId="1" fontId="14" fillId="0" borderId="1" xfId="0" applyNumberFormat="1" applyFont="1" applyBorder="1" applyAlignment="1">
      <alignment horizontal="left"/>
    </xf>
    <xf numFmtId="3" fontId="8" fillId="1" borderId="49" xfId="0" applyFont="1" applyFill="1" applyBorder="1" applyAlignment="1">
      <alignment horizontal="center"/>
    </xf>
    <xf numFmtId="3" fontId="8" fillId="0" borderId="50" xfId="0" applyFont="1" applyBorder="1" applyAlignment="1">
      <alignment horizontal="center"/>
    </xf>
    <xf numFmtId="3" fontId="8" fillId="0" borderId="51" xfId="0" applyFont="1" applyBorder="1" applyAlignment="1">
      <alignment horizontal="center"/>
    </xf>
    <xf numFmtId="3" fontId="8" fillId="0" borderId="52" xfId="0" applyFont="1" applyBorder="1" applyAlignment="1">
      <alignment horizontal="center"/>
    </xf>
    <xf numFmtId="3" fontId="8" fillId="0" borderId="8" xfId="0" applyFont="1" applyBorder="1"/>
    <xf numFmtId="3" fontId="8" fillId="0" borderId="53" xfId="0" applyFont="1" applyBorder="1" applyAlignment="1">
      <alignment horizontal="center"/>
    </xf>
    <xf numFmtId="3" fontId="54" fillId="0" borderId="0" xfId="0" applyFont="1"/>
    <xf numFmtId="3" fontId="8" fillId="0" borderId="40" xfId="0" applyFont="1" applyBorder="1"/>
    <xf numFmtId="3" fontId="3" fillId="0" borderId="24" xfId="0" applyFont="1" applyBorder="1"/>
    <xf numFmtId="3" fontId="8" fillId="0" borderId="20" xfId="0" applyFont="1" applyBorder="1" applyAlignment="1">
      <alignment horizontal="center"/>
    </xf>
    <xf numFmtId="1" fontId="14" fillId="0" borderId="5" xfId="0" applyNumberFormat="1" applyFont="1" applyBorder="1" applyAlignment="1">
      <alignment horizontal="left"/>
    </xf>
    <xf numFmtId="3" fontId="6" fillId="0" borderId="0" xfId="0" applyFont="1" applyAlignment="1">
      <alignment wrapText="1"/>
    </xf>
    <xf numFmtId="3" fontId="12" fillId="0" borderId="0" xfId="0" applyFont="1"/>
    <xf numFmtId="3" fontId="12" fillId="0" borderId="0" xfId="0" applyFont="1" applyAlignment="1">
      <alignment wrapText="1"/>
    </xf>
    <xf numFmtId="3" fontId="2" fillId="0" borderId="0" xfId="0" applyFont="1" applyProtection="1">
      <protection locked="0"/>
    </xf>
    <xf numFmtId="3" fontId="10" fillId="14" borderId="0" xfId="0" applyFont="1" applyFill="1" applyProtection="1">
      <protection locked="0"/>
    </xf>
    <xf numFmtId="3" fontId="102" fillId="0" borderId="54" xfId="0" applyFont="1" applyBorder="1" applyAlignment="1">
      <alignment horizontal="center" vertical="center" wrapText="1"/>
    </xf>
    <xf numFmtId="3" fontId="102" fillId="0" borderId="55" xfId="0" applyFont="1" applyBorder="1" applyAlignment="1">
      <alignment horizontal="center" vertical="center" wrapText="1"/>
    </xf>
    <xf numFmtId="3" fontId="103" fillId="0" borderId="54" xfId="0" applyFont="1" applyBorder="1" applyAlignment="1">
      <alignment vertical="center" wrapText="1"/>
    </xf>
    <xf numFmtId="3" fontId="103" fillId="0" borderId="55" xfId="0" applyFont="1" applyBorder="1" applyAlignment="1">
      <alignment vertical="center" wrapText="1"/>
    </xf>
    <xf numFmtId="3" fontId="0" fillId="0" borderId="54" xfId="0" applyBorder="1" applyAlignment="1">
      <alignment vertical="center" wrapText="1"/>
    </xf>
    <xf numFmtId="3" fontId="0" fillId="0" borderId="55" xfId="0" applyBorder="1" applyAlignment="1">
      <alignment vertical="center" wrapText="1"/>
    </xf>
    <xf numFmtId="3" fontId="0" fillId="0" borderId="54" xfId="0" applyBorder="1"/>
    <xf numFmtId="3" fontId="0" fillId="0" borderId="55" xfId="0" applyBorder="1"/>
    <xf numFmtId="3" fontId="0" fillId="0" borderId="55" xfId="0" applyBorder="1" applyAlignment="1">
      <alignment horizontal="center" vertical="center" wrapText="1"/>
    </xf>
    <xf numFmtId="3" fontId="0" fillId="0" borderId="56" xfId="0" applyBorder="1"/>
    <xf numFmtId="3" fontId="0" fillId="0" borderId="57" xfId="0" applyBorder="1" applyAlignment="1">
      <alignment horizontal="left" vertical="center" wrapText="1"/>
    </xf>
    <xf numFmtId="3" fontId="0" fillId="0" borderId="58" xfId="0" applyBorder="1"/>
    <xf numFmtId="3" fontId="105" fillId="0" borderId="0" xfId="0" applyFont="1" applyAlignment="1">
      <alignment horizontal="center" vertical="center" wrapText="1"/>
    </xf>
    <xf numFmtId="3" fontId="69" fillId="10" borderId="70" xfId="0" applyFont="1" applyFill="1" applyBorder="1" applyAlignment="1" applyProtection="1">
      <alignment horizontal="center" vertical="center"/>
      <protection locked="0"/>
    </xf>
    <xf numFmtId="168" fontId="0" fillId="10" borderId="30" xfId="0" applyNumberFormat="1" applyFill="1" applyBorder="1" applyProtection="1">
      <protection locked="0"/>
    </xf>
    <xf numFmtId="0" fontId="0" fillId="10" borderId="30" xfId="0" applyNumberFormat="1" applyFill="1" applyBorder="1" applyProtection="1">
      <protection locked="0"/>
    </xf>
    <xf numFmtId="49" fontId="0" fillId="0" borderId="0" xfId="0" applyNumberFormat="1"/>
    <xf numFmtId="49" fontId="0" fillId="0" borderId="21" xfId="0" applyNumberFormat="1" applyBorder="1"/>
    <xf numFmtId="49" fontId="3" fillId="0" borderId="0" xfId="0" applyNumberFormat="1" applyFont="1"/>
    <xf numFmtId="3" fontId="10" fillId="0" borderId="0" xfId="0" applyFont="1" applyProtection="1">
      <protection locked="0"/>
    </xf>
    <xf numFmtId="49" fontId="10" fillId="0" borderId="0" xfId="0" applyNumberFormat="1" applyFont="1" applyProtection="1">
      <protection locked="0"/>
    </xf>
    <xf numFmtId="3" fontId="3" fillId="0" borderId="0" xfId="0" applyFont="1" applyProtection="1">
      <protection locked="0"/>
    </xf>
    <xf numFmtId="3" fontId="40" fillId="0" borderId="40" xfId="0" applyFont="1" applyBorder="1"/>
    <xf numFmtId="3" fontId="40" fillId="0" borderId="3" xfId="0" applyFont="1" applyBorder="1"/>
    <xf numFmtId="3" fontId="10" fillId="0" borderId="25" xfId="0" applyFont="1" applyBorder="1"/>
    <xf numFmtId="3" fontId="93" fillId="8" borderId="52" xfId="5" quotePrefix="1" applyNumberFormat="1" applyBorder="1" applyAlignment="1"/>
    <xf numFmtId="3" fontId="10" fillId="0" borderId="26" xfId="0" quotePrefix="1" applyFont="1" applyBorder="1"/>
    <xf numFmtId="3" fontId="10" fillId="0" borderId="22" xfId="0" quotePrefix="1" applyFont="1" applyBorder="1"/>
    <xf numFmtId="3" fontId="10" fillId="0" borderId="59" xfId="0" quotePrefix="1" applyFont="1" applyBorder="1"/>
    <xf numFmtId="3" fontId="10" fillId="0" borderId="21" xfId="0" applyFont="1" applyBorder="1"/>
    <xf numFmtId="3" fontId="10" fillId="0" borderId="15" xfId="0" applyFont="1" applyBorder="1"/>
    <xf numFmtId="3" fontId="93" fillId="8" borderId="0" xfId="5" applyNumberFormat="1"/>
    <xf numFmtId="49" fontId="0" fillId="0" borderId="0" xfId="0" quotePrefix="1" applyNumberFormat="1"/>
    <xf numFmtId="3" fontId="71" fillId="4" borderId="3" xfId="0" applyFont="1" applyFill="1" applyBorder="1" applyAlignment="1" applyProtection="1">
      <alignment horizontal="center"/>
      <protection locked="0"/>
    </xf>
    <xf numFmtId="3" fontId="2" fillId="4" borderId="0" xfId="0" quotePrefix="1" applyFont="1" applyFill="1"/>
    <xf numFmtId="3" fontId="106" fillId="4" borderId="0" xfId="0" applyFont="1" applyFill="1"/>
    <xf numFmtId="49" fontId="0" fillId="0" borderId="3" xfId="0" applyNumberFormat="1" applyBorder="1" applyAlignment="1">
      <alignment horizontal="center"/>
    </xf>
    <xf numFmtId="3" fontId="0" fillId="0" borderId="3" xfId="0" applyBorder="1" applyAlignment="1">
      <alignment horizontal="center"/>
    </xf>
    <xf numFmtId="3" fontId="40" fillId="3" borderId="2" xfId="0" applyFont="1" applyFill="1" applyBorder="1"/>
    <xf numFmtId="49" fontId="31" fillId="0" borderId="0" xfId="0" applyNumberFormat="1" applyFont="1"/>
    <xf numFmtId="3" fontId="26" fillId="0" borderId="0" xfId="0" applyFont="1"/>
    <xf numFmtId="3" fontId="3" fillId="0" borderId="3" xfId="0" applyFont="1" applyBorder="1"/>
    <xf numFmtId="0" fontId="1" fillId="0" borderId="3" xfId="12" applyBorder="1" applyAlignment="1">
      <alignment horizontal="left" wrapText="1"/>
    </xf>
    <xf numFmtId="0" fontId="1" fillId="0" borderId="3" xfId="12" applyBorder="1" applyAlignment="1">
      <alignment wrapText="1"/>
    </xf>
    <xf numFmtId="3" fontId="0" fillId="0" borderId="3" xfId="0" applyBorder="1" applyAlignment="1">
      <alignment horizontal="left"/>
    </xf>
    <xf numFmtId="3" fontId="0" fillId="0" borderId="3" xfId="0" applyBorder="1"/>
    <xf numFmtId="49" fontId="10" fillId="0" borderId="3" xfId="0" applyNumberFormat="1" applyFont="1" applyBorder="1"/>
    <xf numFmtId="49" fontId="14" fillId="0" borderId="0" xfId="0" applyNumberFormat="1" applyFont="1" applyAlignment="1">
      <alignment horizontal="left"/>
    </xf>
    <xf numFmtId="3" fontId="10" fillId="0" borderId="12" xfId="0" applyFont="1" applyBorder="1" applyProtection="1">
      <protection locked="0"/>
    </xf>
    <xf numFmtId="3" fontId="10" fillId="4" borderId="12" xfId="0" applyFont="1" applyFill="1" applyBorder="1" applyProtection="1">
      <protection locked="0"/>
    </xf>
    <xf numFmtId="3" fontId="0" fillId="0" borderId="15" xfId="0" applyBorder="1" applyAlignment="1">
      <alignment horizontal="center"/>
    </xf>
    <xf numFmtId="3" fontId="0" fillId="0" borderId="11" xfId="0" applyBorder="1" applyAlignment="1">
      <alignment horizontal="center"/>
    </xf>
    <xf numFmtId="168" fontId="55" fillId="10" borderId="30" xfId="0" applyNumberFormat="1" applyFont="1" applyFill="1" applyBorder="1" applyProtection="1">
      <protection locked="0"/>
    </xf>
    <xf numFmtId="3" fontId="55" fillId="0" borderId="0" xfId="0" applyFont="1"/>
    <xf numFmtId="3" fontId="55" fillId="0" borderId="0" xfId="0" applyFont="1" applyAlignment="1">
      <alignment horizontal="left" vertical="center" wrapText="1"/>
    </xf>
    <xf numFmtId="3" fontId="20" fillId="0" borderId="0" xfId="6" applyNumberFormat="1" applyAlignment="1" applyProtection="1">
      <alignment horizontal="center" wrapText="1"/>
    </xf>
    <xf numFmtId="49" fontId="0" fillId="0" borderId="3" xfId="0" applyNumberFormat="1" applyBorder="1"/>
    <xf numFmtId="3" fontId="2" fillId="4" borderId="3" xfId="0" applyFont="1" applyFill="1" applyBorder="1" applyAlignment="1">
      <alignment horizontal="center"/>
    </xf>
    <xf numFmtId="3" fontId="23" fillId="0" borderId="25" xfId="0" quotePrefix="1" applyFont="1" applyBorder="1" applyAlignment="1">
      <alignment horizontal="center"/>
    </xf>
    <xf numFmtId="3" fontId="23" fillId="0" borderId="25" xfId="0" applyFont="1" applyBorder="1" applyAlignment="1">
      <alignment horizontal="center"/>
    </xf>
    <xf numFmtId="3" fontId="82" fillId="0" borderId="12" xfId="0" applyFont="1" applyBorder="1"/>
    <xf numFmtId="3" fontId="23" fillId="0" borderId="12" xfId="0" applyFont="1" applyBorder="1" applyAlignment="1">
      <alignment horizontal="center"/>
    </xf>
    <xf numFmtId="3" fontId="23" fillId="0" borderId="26" xfId="0" applyFont="1" applyBorder="1" applyAlignment="1">
      <alignment horizontal="center"/>
    </xf>
    <xf numFmtId="3" fontId="23" fillId="0" borderId="24" xfId="0" applyFont="1" applyBorder="1"/>
    <xf numFmtId="3" fontId="23" fillId="0" borderId="24" xfId="0" applyFont="1" applyBorder="1" applyAlignment="1">
      <alignment horizontal="center"/>
    </xf>
    <xf numFmtId="3" fontId="23" fillId="0" borderId="27" xfId="0" applyFont="1" applyBorder="1" applyAlignment="1">
      <alignment horizontal="center"/>
    </xf>
    <xf numFmtId="3" fontId="23" fillId="0" borderId="20" xfId="0" applyFont="1" applyBorder="1" applyAlignment="1">
      <alignment horizontal="center"/>
    </xf>
    <xf numFmtId="3" fontId="59" fillId="0" borderId="0" xfId="0" applyFont="1" applyAlignment="1">
      <alignment vertical="center"/>
    </xf>
    <xf numFmtId="3" fontId="53" fillId="0" borderId="0" xfId="0" applyFont="1" applyAlignment="1">
      <alignment vertical="center"/>
    </xf>
    <xf numFmtId="3" fontId="107" fillId="0" borderId="0" xfId="0" applyFont="1" applyAlignment="1">
      <alignment vertical="center"/>
    </xf>
    <xf numFmtId="3" fontId="53" fillId="0" borderId="0" xfId="0" applyFont="1"/>
    <xf numFmtId="3" fontId="2" fillId="4" borderId="0" xfId="0" applyFont="1" applyFill="1" applyAlignment="1">
      <alignment horizontal="center"/>
    </xf>
    <xf numFmtId="3" fontId="10" fillId="0" borderId="24" xfId="0" applyFont="1" applyBorder="1" applyAlignment="1">
      <alignment horizontal="center" vertical="center"/>
    </xf>
    <xf numFmtId="3" fontId="10" fillId="0" borderId="12" xfId="0" applyFont="1" applyBorder="1" applyAlignment="1">
      <alignment horizontal="center" vertical="center"/>
    </xf>
    <xf numFmtId="3" fontId="10" fillId="4" borderId="24" xfId="0" applyFont="1" applyFill="1" applyBorder="1" applyAlignment="1">
      <alignment horizontal="center" vertical="center"/>
    </xf>
    <xf numFmtId="3" fontId="10" fillId="4" borderId="20" xfId="0" applyFont="1" applyFill="1" applyBorder="1" applyAlignment="1">
      <alignment horizontal="center" vertical="center"/>
    </xf>
    <xf numFmtId="3" fontId="10" fillId="4" borderId="12" xfId="0" applyFont="1" applyFill="1" applyBorder="1" applyAlignment="1">
      <alignment vertical="center"/>
    </xf>
    <xf numFmtId="3" fontId="10" fillId="7" borderId="12" xfId="0" applyFont="1" applyFill="1" applyBorder="1" applyAlignment="1">
      <alignment vertical="center"/>
    </xf>
    <xf numFmtId="3" fontId="10" fillId="4" borderId="12" xfId="0" applyFont="1" applyFill="1" applyBorder="1" applyAlignment="1">
      <alignment horizontal="center" vertical="center"/>
    </xf>
    <xf numFmtId="3" fontId="10" fillId="4" borderId="24" xfId="0" applyFont="1" applyFill="1" applyBorder="1" applyAlignment="1">
      <alignment vertical="center"/>
    </xf>
    <xf numFmtId="3" fontId="10" fillId="4" borderId="0" xfId="0" applyFont="1" applyFill="1" applyAlignment="1">
      <alignment vertical="center"/>
    </xf>
    <xf numFmtId="3" fontId="0" fillId="0" borderId="12" xfId="0" applyBorder="1" applyAlignment="1">
      <alignment vertical="center"/>
    </xf>
    <xf numFmtId="3" fontId="3" fillId="0" borderId="12" xfId="0" applyFont="1" applyBorder="1" applyAlignment="1">
      <alignment vertical="center"/>
    </xf>
    <xf numFmtId="3" fontId="10" fillId="4" borderId="26" xfId="0" applyFont="1" applyFill="1" applyBorder="1" applyAlignment="1">
      <alignment horizontal="center" vertical="center"/>
    </xf>
    <xf numFmtId="3" fontId="10" fillId="7" borderId="22" xfId="0" applyFont="1" applyFill="1" applyBorder="1" applyAlignment="1">
      <alignment horizontal="center" vertical="center"/>
    </xf>
    <xf numFmtId="3" fontId="10" fillId="4" borderId="0" xfId="0" applyFont="1" applyFill="1" applyAlignment="1">
      <alignment horizontal="center" vertical="center"/>
    </xf>
    <xf numFmtId="3" fontId="10" fillId="0" borderId="9" xfId="0" applyFont="1" applyBorder="1" applyAlignment="1">
      <alignment horizontal="center" vertical="center"/>
    </xf>
    <xf numFmtId="3" fontId="10" fillId="7" borderId="20" xfId="0" applyFont="1" applyFill="1" applyBorder="1" applyAlignment="1">
      <alignment horizontal="center" vertical="center"/>
    </xf>
    <xf numFmtId="3" fontId="3" fillId="0" borderId="0" xfId="0" applyFont="1" applyAlignment="1">
      <alignment vertical="center"/>
    </xf>
    <xf numFmtId="3" fontId="20" fillId="0" borderId="0" xfId="6" applyNumberFormat="1" applyFill="1" applyAlignment="1" applyProtection="1"/>
    <xf numFmtId="3" fontId="59" fillId="0" borderId="0" xfId="0" applyFont="1" applyAlignment="1">
      <alignment horizontal="left" vertical="center" indent="1"/>
    </xf>
    <xf numFmtId="3" fontId="40" fillId="0" borderId="5" xfId="0" applyFont="1" applyBorder="1"/>
    <xf numFmtId="3" fontId="40" fillId="4" borderId="15" xfId="0" applyFont="1" applyFill="1" applyBorder="1"/>
    <xf numFmtId="3" fontId="14" fillId="0" borderId="2" xfId="0" applyFont="1" applyBorder="1" applyAlignment="1">
      <alignment horizontal="center"/>
    </xf>
    <xf numFmtId="0" fontId="1" fillId="0" borderId="3" xfId="13" applyFont="1" applyBorder="1" applyAlignment="1">
      <alignment horizontal="left" wrapText="1"/>
    </xf>
    <xf numFmtId="0" fontId="14" fillId="0" borderId="2" xfId="0" applyNumberFormat="1" applyFont="1" applyBorder="1" applyAlignment="1">
      <alignment horizontal="center"/>
    </xf>
    <xf numFmtId="3" fontId="14" fillId="0" borderId="3" xfId="0" applyFont="1" applyBorder="1" applyAlignment="1">
      <alignment horizontal="center"/>
    </xf>
    <xf numFmtId="3" fontId="2" fillId="4" borderId="24" xfId="0" applyFont="1" applyFill="1" applyBorder="1" applyAlignment="1">
      <alignment horizontal="center" vertical="center"/>
    </xf>
    <xf numFmtId="3" fontId="3" fillId="0" borderId="0" xfId="1" applyNumberFormat="1" applyFont="1" applyAlignment="1"/>
    <xf numFmtId="3" fontId="10" fillId="0" borderId="0" xfId="0" applyFont="1" applyAlignment="1">
      <alignment horizontal="right"/>
    </xf>
    <xf numFmtId="3" fontId="33" fillId="15" borderId="0" xfId="0" applyFont="1" applyFill="1"/>
    <xf numFmtId="3" fontId="10" fillId="15" borderId="0" xfId="0" applyFont="1" applyFill="1"/>
    <xf numFmtId="3" fontId="3" fillId="15" borderId="0" xfId="0" applyFont="1" applyFill="1"/>
    <xf numFmtId="1" fontId="10" fillId="15" borderId="0" xfId="0" applyNumberFormat="1" applyFont="1" applyFill="1"/>
    <xf numFmtId="3" fontId="10" fillId="15" borderId="0" xfId="0" quotePrefix="1" applyFont="1" applyFill="1"/>
    <xf numFmtId="3" fontId="55" fillId="16" borderId="0" xfId="0" applyFont="1" applyFill="1"/>
    <xf numFmtId="3" fontId="81" fillId="16" borderId="0" xfId="0" applyFont="1" applyFill="1"/>
    <xf numFmtId="3" fontId="10" fillId="15" borderId="0" xfId="0" applyFont="1" applyFill="1" applyAlignment="1">
      <alignment horizontal="center"/>
    </xf>
    <xf numFmtId="164" fontId="10" fillId="15" borderId="0" xfId="0" applyNumberFormat="1" applyFont="1" applyFill="1"/>
    <xf numFmtId="3" fontId="10" fillId="4" borderId="0" xfId="0" quotePrefix="1" applyFont="1" applyFill="1" applyAlignment="1">
      <alignment vertical="top"/>
    </xf>
    <xf numFmtId="1" fontId="10" fillId="4" borderId="0" xfId="0" applyNumberFormat="1" applyFont="1" applyFill="1" applyAlignment="1">
      <alignment horizontal="center" vertical="top"/>
    </xf>
    <xf numFmtId="3" fontId="45" fillId="4" borderId="0" xfId="0" applyFont="1" applyFill="1"/>
    <xf numFmtId="3" fontId="88" fillId="4" borderId="2" xfId="0" applyFont="1" applyFill="1" applyBorder="1" applyAlignment="1">
      <alignment horizontal="center"/>
    </xf>
    <xf numFmtId="3" fontId="88" fillId="4" borderId="8" xfId="0" applyFont="1" applyFill="1" applyBorder="1" applyAlignment="1">
      <alignment horizontal="center"/>
    </xf>
    <xf numFmtId="3" fontId="45" fillId="3" borderId="5" xfId="0" applyFont="1" applyFill="1" applyBorder="1"/>
    <xf numFmtId="3" fontId="45" fillId="3" borderId="2" xfId="0" applyFont="1" applyFill="1" applyBorder="1"/>
    <xf numFmtId="3" fontId="45" fillId="4" borderId="1" xfId="0" applyFont="1" applyFill="1" applyBorder="1"/>
    <xf numFmtId="3" fontId="88" fillId="4" borderId="44" xfId="0" applyFont="1" applyFill="1" applyBorder="1" applyAlignment="1">
      <alignment horizontal="center"/>
    </xf>
    <xf numFmtId="3" fontId="88" fillId="4" borderId="0" xfId="0" applyFont="1" applyFill="1"/>
    <xf numFmtId="3" fontId="89" fillId="4" borderId="0" xfId="0" applyFont="1" applyFill="1"/>
    <xf numFmtId="3" fontId="20" fillId="13" borderId="20" xfId="6" applyNumberFormat="1" applyFill="1" applyBorder="1" applyAlignment="1" applyProtection="1">
      <alignment vertical="center"/>
    </xf>
    <xf numFmtId="0" fontId="99" fillId="13" borderId="59" xfId="9" applyFont="1" applyFill="1" applyBorder="1" applyAlignment="1" applyProtection="1">
      <alignment horizontal="left" vertical="top" wrapText="1"/>
      <protection hidden="1"/>
    </xf>
    <xf numFmtId="3" fontId="10" fillId="9" borderId="13" xfId="0" applyFont="1" applyFill="1" applyBorder="1"/>
    <xf numFmtId="168" fontId="0" fillId="0" borderId="0" xfId="0" applyNumberFormat="1" applyProtection="1">
      <protection locked="0"/>
    </xf>
    <xf numFmtId="168" fontId="55" fillId="0" borderId="0" xfId="0" applyNumberFormat="1" applyFont="1" applyProtection="1">
      <protection locked="0"/>
    </xf>
    <xf numFmtId="168" fontId="3" fillId="0" borderId="0" xfId="4" applyNumberFormat="1" applyFont="1" applyFill="1" applyBorder="1"/>
    <xf numFmtId="168" fontId="0" fillId="0" borderId="0" xfId="0" applyNumberFormat="1"/>
    <xf numFmtId="0" fontId="0" fillId="0" borderId="0" xfId="0" applyNumberFormat="1" applyProtection="1">
      <protection locked="0"/>
    </xf>
    <xf numFmtId="3" fontId="0" fillId="0" borderId="0" xfId="0" applyProtection="1">
      <protection locked="0"/>
    </xf>
    <xf numFmtId="3" fontId="69" fillId="0" borderId="71" xfId="0" applyFont="1" applyBorder="1" applyAlignment="1" applyProtection="1">
      <alignment horizontal="center" vertical="center"/>
      <protection locked="0"/>
    </xf>
    <xf numFmtId="168" fontId="0" fillId="0" borderId="60" xfId="0" applyNumberFormat="1" applyBorder="1" applyProtection="1">
      <protection locked="0"/>
    </xf>
    <xf numFmtId="3" fontId="90" fillId="0" borderId="0" xfId="0" applyFont="1" applyAlignment="1">
      <alignment horizontal="center"/>
    </xf>
    <xf numFmtId="3" fontId="108" fillId="0" borderId="0" xfId="0" applyFont="1" applyAlignment="1">
      <alignment horizontal="center"/>
    </xf>
    <xf numFmtId="3" fontId="10" fillId="11" borderId="24" xfId="0" applyFont="1" applyFill="1" applyBorder="1" applyAlignment="1">
      <alignment horizontal="center" vertical="center"/>
    </xf>
    <xf numFmtId="3" fontId="10" fillId="11" borderId="9" xfId="0" applyFont="1" applyFill="1" applyBorder="1" applyAlignment="1">
      <alignment horizontal="center" vertical="center"/>
    </xf>
    <xf numFmtId="3" fontId="10" fillId="11" borderId="0" xfId="0" applyFont="1" applyFill="1"/>
    <xf numFmtId="3" fontId="2" fillId="11" borderId="0" xfId="0" applyFont="1" applyFill="1" applyAlignment="1">
      <alignment horizontal="center"/>
    </xf>
    <xf numFmtId="3" fontId="10" fillId="11" borderId="0" xfId="0" applyFont="1" applyFill="1" applyAlignment="1">
      <alignment horizontal="center"/>
    </xf>
    <xf numFmtId="3" fontId="2" fillId="11" borderId="0" xfId="0" applyFont="1" applyFill="1"/>
    <xf numFmtId="3" fontId="14" fillId="11" borderId="0" xfId="0" applyFont="1" applyFill="1"/>
    <xf numFmtId="49" fontId="10" fillId="11" borderId="0" xfId="0" applyNumberFormat="1" applyFont="1" applyFill="1" applyAlignment="1">
      <alignment horizontal="center"/>
    </xf>
    <xf numFmtId="3" fontId="10" fillId="11" borderId="0" xfId="0" applyFont="1" applyFill="1" applyAlignment="1">
      <alignment vertical="center"/>
    </xf>
    <xf numFmtId="3" fontId="14" fillId="0" borderId="0" xfId="0" applyFont="1" applyAlignment="1">
      <alignment horizontal="left" vertical="center" wrapText="1"/>
    </xf>
    <xf numFmtId="3" fontId="33" fillId="17" borderId="0" xfId="0" applyFont="1" applyFill="1"/>
    <xf numFmtId="1" fontId="10" fillId="17" borderId="0" xfId="0" applyNumberFormat="1" applyFont="1" applyFill="1"/>
    <xf numFmtId="3" fontId="10" fillId="17" borderId="0" xfId="0" applyFont="1" applyFill="1"/>
    <xf numFmtId="3" fontId="10" fillId="0" borderId="0" xfId="0" applyFont="1" applyAlignment="1">
      <alignment wrapText="1"/>
    </xf>
    <xf numFmtId="3" fontId="91" fillId="0" borderId="0" xfId="0" applyFont="1" applyAlignment="1">
      <alignment horizontal="right" vertical="center" wrapText="1"/>
    </xf>
    <xf numFmtId="1" fontId="34" fillId="0" borderId="0" xfId="0" applyNumberFormat="1" applyFont="1" applyAlignment="1">
      <alignment horizontal="left"/>
    </xf>
    <xf numFmtId="3" fontId="34" fillId="0" borderId="0" xfId="0" applyFont="1" applyAlignment="1">
      <alignment horizontal="left"/>
    </xf>
    <xf numFmtId="1" fontId="2" fillId="0" borderId="0" xfId="0" applyNumberFormat="1" applyFont="1" applyAlignment="1">
      <alignment horizontal="center"/>
    </xf>
    <xf numFmtId="3" fontId="2" fillId="0" borderId="0" xfId="0" applyFont="1" applyAlignment="1">
      <alignment horizontal="center"/>
    </xf>
    <xf numFmtId="169" fontId="10" fillId="0" borderId="0" xfId="1" applyNumberFormat="1" applyFont="1" applyFill="1" applyAlignment="1">
      <alignment horizontal="center"/>
    </xf>
    <xf numFmtId="169" fontId="10" fillId="0" borderId="0" xfId="1" applyNumberFormat="1" applyFont="1" applyFill="1" applyAlignment="1"/>
    <xf numFmtId="3" fontId="109" fillId="4" borderId="2" xfId="0" applyFont="1" applyFill="1" applyBorder="1"/>
    <xf numFmtId="1" fontId="10" fillId="0" borderId="0" xfId="0" applyNumberFormat="1" applyFont="1" applyAlignment="1">
      <alignment horizontal="left"/>
    </xf>
    <xf numFmtId="166" fontId="10" fillId="0" borderId="0" xfId="0" applyNumberFormat="1" applyFont="1"/>
    <xf numFmtId="0" fontId="94" fillId="11" borderId="0" xfId="10" applyFill="1"/>
    <xf numFmtId="0" fontId="94" fillId="11" borderId="0" xfId="10" applyFill="1" applyAlignment="1">
      <alignment wrapText="1"/>
    </xf>
    <xf numFmtId="0" fontId="94" fillId="11" borderId="3" xfId="10" applyFill="1" applyBorder="1"/>
    <xf numFmtId="0" fontId="100" fillId="11" borderId="3" xfId="10" applyFont="1" applyFill="1" applyBorder="1" applyAlignment="1">
      <alignment horizontal="center" vertical="center"/>
    </xf>
    <xf numFmtId="0" fontId="62" fillId="11" borderId="3" xfId="10" applyFont="1" applyFill="1" applyBorder="1" applyAlignment="1">
      <alignment horizontal="center" vertical="center"/>
    </xf>
    <xf numFmtId="49" fontId="110" fillId="11" borderId="3" xfId="10" applyNumberFormat="1" applyFont="1" applyFill="1" applyBorder="1" applyAlignment="1">
      <alignment horizontal="center" vertical="center" wrapText="1"/>
    </xf>
    <xf numFmtId="0" fontId="110" fillId="11" borderId="3" xfId="10" applyFont="1" applyFill="1" applyBorder="1" applyAlignment="1">
      <alignment horizontal="center" vertical="center"/>
    </xf>
    <xf numFmtId="0" fontId="94" fillId="11" borderId="3" xfId="10" applyFill="1" applyBorder="1" applyAlignment="1">
      <alignment horizontal="center" vertical="center" wrapText="1"/>
    </xf>
    <xf numFmtId="167" fontId="94" fillId="11" borderId="3" xfId="10" applyNumberFormat="1" applyFill="1" applyBorder="1" applyAlignment="1" applyProtection="1">
      <alignment vertical="center"/>
      <protection locked="0"/>
    </xf>
    <xf numFmtId="49" fontId="111" fillId="11" borderId="3" xfId="0" applyNumberFormat="1" applyFont="1" applyFill="1" applyBorder="1" applyAlignment="1">
      <alignment horizontal="center" vertical="center"/>
    </xf>
    <xf numFmtId="3" fontId="111" fillId="11" borderId="3" xfId="0" applyFont="1" applyFill="1" applyBorder="1" applyAlignment="1">
      <alignment horizontal="center" vertical="center"/>
    </xf>
    <xf numFmtId="0" fontId="94" fillId="11" borderId="3" xfId="10" applyFill="1" applyBorder="1" applyAlignment="1">
      <alignment horizontal="center" vertical="center"/>
    </xf>
    <xf numFmtId="10" fontId="94" fillId="11" borderId="3" xfId="10" applyNumberFormat="1" applyFill="1" applyBorder="1" applyAlignment="1" applyProtection="1">
      <alignment vertical="center"/>
      <protection locked="0"/>
    </xf>
    <xf numFmtId="0" fontId="84" fillId="11" borderId="3" xfId="10" quotePrefix="1" applyFont="1" applyFill="1" applyBorder="1" applyAlignment="1">
      <alignment horizontal="center" vertical="center"/>
    </xf>
    <xf numFmtId="0" fontId="63" fillId="11" borderId="3" xfId="10" applyFont="1" applyFill="1" applyBorder="1" applyAlignment="1">
      <alignment vertical="center" wrapText="1"/>
    </xf>
    <xf numFmtId="1" fontId="94" fillId="11" borderId="3" xfId="10" applyNumberFormat="1" applyFill="1" applyBorder="1" applyAlignment="1" applyProtection="1">
      <alignment vertical="center"/>
      <protection locked="0"/>
    </xf>
    <xf numFmtId="0" fontId="94" fillId="11" borderId="0" xfId="10" applyFill="1" applyAlignment="1">
      <alignment horizontal="center" vertical="center"/>
    </xf>
    <xf numFmtId="0" fontId="84" fillId="11" borderId="12" xfId="10" quotePrefix="1" applyFont="1" applyFill="1" applyBorder="1" applyAlignment="1">
      <alignment horizontal="center" vertical="center"/>
    </xf>
    <xf numFmtId="0" fontId="63" fillId="11" borderId="12" xfId="10" applyFont="1" applyFill="1" applyBorder="1" applyAlignment="1">
      <alignment vertical="center" wrapText="1"/>
    </xf>
    <xf numFmtId="168" fontId="94" fillId="11" borderId="3" xfId="10" applyNumberFormat="1" applyFill="1" applyBorder="1" applyAlignment="1" applyProtection="1">
      <alignment vertical="center"/>
      <protection locked="0"/>
    </xf>
    <xf numFmtId="0" fontId="94" fillId="11" borderId="0" xfId="10" applyFill="1" applyAlignment="1">
      <alignment horizontal="center"/>
    </xf>
    <xf numFmtId="3" fontId="112" fillId="11" borderId="20" xfId="0" quotePrefix="1" applyFont="1" applyFill="1" applyBorder="1" applyAlignment="1">
      <alignment horizontal="center" vertical="center"/>
    </xf>
    <xf numFmtId="3" fontId="99" fillId="11" borderId="20" xfId="0" applyFont="1" applyFill="1" applyBorder="1" applyAlignment="1">
      <alignment vertical="center"/>
    </xf>
    <xf numFmtId="165" fontId="94" fillId="11" borderId="3" xfId="10" applyNumberFormat="1" applyFill="1" applyBorder="1" applyAlignment="1" applyProtection="1">
      <alignment vertical="center"/>
      <protection locked="0"/>
    </xf>
    <xf numFmtId="3" fontId="94" fillId="11" borderId="3" xfId="10" applyNumberFormat="1" applyFill="1" applyBorder="1" applyAlignment="1" applyProtection="1">
      <alignment vertical="center"/>
      <protection locked="0"/>
    </xf>
    <xf numFmtId="3" fontId="112" fillId="11" borderId="3" xfId="0" quotePrefix="1" applyFont="1" applyFill="1" applyBorder="1" applyAlignment="1">
      <alignment horizontal="center" vertical="center"/>
    </xf>
    <xf numFmtId="3" fontId="99" fillId="11" borderId="24" xfId="0" applyFont="1" applyFill="1" applyBorder="1" applyAlignment="1">
      <alignment vertical="center"/>
    </xf>
    <xf numFmtId="0" fontId="98" fillId="11" borderId="0" xfId="10" applyFont="1" applyFill="1" applyAlignment="1">
      <alignment vertical="center"/>
    </xf>
    <xf numFmtId="0" fontId="83" fillId="11" borderId="3" xfId="6" applyFont="1" applyFill="1" applyBorder="1" applyAlignment="1" applyProtection="1">
      <alignment vertical="center" wrapText="1"/>
    </xf>
    <xf numFmtId="1" fontId="94" fillId="11" borderId="0" xfId="10" applyNumberFormat="1" applyFill="1"/>
    <xf numFmtId="0" fontId="94" fillId="18" borderId="3" xfId="10" applyFill="1" applyBorder="1"/>
    <xf numFmtId="0" fontId="94" fillId="18" borderId="3" xfId="10" applyFill="1" applyBorder="1" applyAlignment="1">
      <alignment vertical="center"/>
    </xf>
    <xf numFmtId="3" fontId="23" fillId="11" borderId="0" xfId="0" applyFont="1" applyFill="1"/>
    <xf numFmtId="3" fontId="2" fillId="11" borderId="3" xfId="0" applyFont="1" applyFill="1" applyBorder="1" applyAlignment="1">
      <alignment horizontal="center"/>
    </xf>
    <xf numFmtId="3" fontId="10" fillId="11" borderId="12" xfId="0" applyFont="1" applyFill="1" applyBorder="1" applyAlignment="1">
      <alignment horizontal="center"/>
    </xf>
    <xf numFmtId="3" fontId="10" fillId="11" borderId="12" xfId="0" applyFont="1" applyFill="1" applyBorder="1" applyAlignment="1">
      <alignment vertical="center"/>
    </xf>
    <xf numFmtId="3" fontId="10" fillId="11" borderId="12" xfId="0" applyFont="1" applyFill="1" applyBorder="1" applyAlignment="1">
      <alignment horizontal="center" vertical="center"/>
    </xf>
    <xf numFmtId="3" fontId="10" fillId="11" borderId="20" xfId="0" applyFont="1" applyFill="1" applyBorder="1" applyAlignment="1">
      <alignment horizontal="center" vertical="center"/>
    </xf>
    <xf numFmtId="3" fontId="10" fillId="11" borderId="11" xfId="0" applyFont="1" applyFill="1" applyBorder="1" applyAlignment="1">
      <alignment horizontal="center" vertical="top"/>
    </xf>
    <xf numFmtId="3" fontId="10" fillId="11" borderId="11" xfId="0" applyFont="1" applyFill="1" applyBorder="1" applyAlignment="1">
      <alignment horizontal="center"/>
    </xf>
    <xf numFmtId="1" fontId="10" fillId="11" borderId="3" xfId="0" applyNumberFormat="1" applyFont="1" applyFill="1" applyBorder="1" applyAlignment="1">
      <alignment horizontal="left"/>
    </xf>
    <xf numFmtId="3" fontId="10" fillId="11" borderId="3" xfId="0" applyFont="1" applyFill="1" applyBorder="1"/>
    <xf numFmtId="3" fontId="10" fillId="11" borderId="3" xfId="0" applyFont="1" applyFill="1" applyBorder="1" applyProtection="1">
      <protection locked="0"/>
    </xf>
    <xf numFmtId="1" fontId="2" fillId="11" borderId="3" xfId="0" applyNumberFormat="1" applyFont="1" applyFill="1" applyBorder="1" applyAlignment="1">
      <alignment horizontal="left"/>
    </xf>
    <xf numFmtId="3" fontId="2" fillId="11" borderId="3" xfId="0" applyFont="1" applyFill="1" applyBorder="1"/>
    <xf numFmtId="3" fontId="10" fillId="9" borderId="3" xfId="0" applyFont="1" applyFill="1" applyBorder="1"/>
    <xf numFmtId="3" fontId="2" fillId="1" borderId="14" xfId="0" applyFont="1" applyFill="1" applyBorder="1" applyAlignment="1">
      <alignment horizontal="center"/>
    </xf>
    <xf numFmtId="3" fontId="2" fillId="1" borderId="7" xfId="0" applyFont="1" applyFill="1" applyBorder="1" applyAlignment="1">
      <alignment horizontal="center"/>
    </xf>
    <xf numFmtId="3" fontId="2" fillId="1" borderId="9" xfId="0" applyFont="1" applyFill="1" applyBorder="1" applyAlignment="1">
      <alignment horizontal="center"/>
    </xf>
    <xf numFmtId="3" fontId="10" fillId="7" borderId="24" xfId="0" applyFont="1" applyFill="1" applyBorder="1" applyAlignment="1">
      <alignment horizontal="center" vertical="center"/>
    </xf>
    <xf numFmtId="3" fontId="10" fillId="7" borderId="0" xfId="0" applyFont="1" applyFill="1" applyAlignment="1">
      <alignment horizontal="center" vertical="center"/>
    </xf>
    <xf numFmtId="3" fontId="82" fillId="0" borderId="3" xfId="0" applyFont="1" applyBorder="1"/>
    <xf numFmtId="49" fontId="82" fillId="0" borderId="3" xfId="0" applyNumberFormat="1" applyFont="1" applyBorder="1"/>
    <xf numFmtId="49" fontId="82" fillId="0" borderId="3" xfId="0" applyNumberFormat="1" applyFont="1" applyBorder="1" applyAlignment="1">
      <alignment horizontal="center"/>
    </xf>
    <xf numFmtId="3" fontId="82" fillId="0" borderId="3" xfId="0" applyFont="1" applyBorder="1" applyAlignment="1">
      <alignment horizontal="center"/>
    </xf>
    <xf numFmtId="49" fontId="113" fillId="0" borderId="3" xfId="7" applyNumberFormat="1" applyFont="1" applyBorder="1"/>
    <xf numFmtId="49" fontId="113" fillId="0" borderId="3" xfId="7" applyNumberFormat="1" applyFont="1" applyBorder="1" applyAlignment="1">
      <alignment horizontal="center"/>
    </xf>
    <xf numFmtId="3" fontId="14" fillId="0" borderId="0" xfId="0" applyFont="1" applyAlignment="1" applyProtection="1">
      <alignment horizontal="right" wrapText="1"/>
      <protection locked="0"/>
    </xf>
    <xf numFmtId="3" fontId="59" fillId="19" borderId="0" xfId="0" applyFont="1" applyFill="1" applyAlignment="1" applyProtection="1">
      <alignment wrapText="1"/>
      <protection locked="0"/>
    </xf>
    <xf numFmtId="3" fontId="14" fillId="19" borderId="0" xfId="0" applyFont="1" applyFill="1" applyAlignment="1" applyProtection="1">
      <alignment horizontal="right" wrapText="1"/>
      <protection locked="0"/>
    </xf>
    <xf numFmtId="3" fontId="59" fillId="0" borderId="0" xfId="0" applyFont="1" applyAlignment="1" applyProtection="1">
      <alignment wrapText="1"/>
      <protection locked="0"/>
    </xf>
    <xf numFmtId="3" fontId="118" fillId="0" borderId="0" xfId="0" quotePrefix="1" applyFont="1"/>
    <xf numFmtId="3" fontId="119" fillId="0" borderId="26" xfId="0" applyFont="1" applyBorder="1"/>
    <xf numFmtId="3" fontId="120" fillId="0" borderId="0" xfId="0" applyFont="1"/>
    <xf numFmtId="49" fontId="121" fillId="0" borderId="0" xfId="0" applyNumberFormat="1" applyFont="1"/>
    <xf numFmtId="49" fontId="121" fillId="23" borderId="0" xfId="0" applyNumberFormat="1" applyFont="1" applyFill="1"/>
    <xf numFmtId="49" fontId="92" fillId="23" borderId="81" xfId="0" applyNumberFormat="1" applyFont="1" applyFill="1" applyBorder="1"/>
    <xf numFmtId="3" fontId="122" fillId="23" borderId="81" xfId="0" applyFont="1" applyFill="1" applyBorder="1"/>
    <xf numFmtId="3" fontId="123" fillId="0" borderId="0" xfId="0" applyFont="1"/>
    <xf numFmtId="49" fontId="121" fillId="0" borderId="0" xfId="0" applyNumberFormat="1" applyFont="1" applyAlignment="1">
      <alignment horizontal="left"/>
    </xf>
    <xf numFmtId="0" fontId="57" fillId="11" borderId="0" xfId="10" applyFont="1" applyFill="1" applyAlignment="1">
      <alignment wrapText="1"/>
    </xf>
    <xf numFmtId="3" fontId="2" fillId="0" borderId="2" xfId="0" applyFont="1" applyBorder="1" applyAlignment="1">
      <alignment horizontal="center"/>
    </xf>
    <xf numFmtId="3" fontId="2" fillId="0" borderId="7" xfId="0" applyFont="1" applyBorder="1" applyAlignment="1">
      <alignment horizontal="center"/>
    </xf>
    <xf numFmtId="3" fontId="2" fillId="0" borderId="2" xfId="0" applyFont="1" applyBorder="1"/>
    <xf numFmtId="3" fontId="2" fillId="0" borderId="7" xfId="0" applyFont="1" applyBorder="1"/>
    <xf numFmtId="3" fontId="2" fillId="0" borderId="8" xfId="0" applyFont="1" applyBorder="1" applyAlignment="1">
      <alignment horizontal="center"/>
    </xf>
    <xf numFmtId="3" fontId="2" fillId="0" borderId="14" xfId="0" applyFont="1" applyBorder="1" applyAlignment="1">
      <alignment horizontal="center"/>
    </xf>
    <xf numFmtId="3" fontId="2" fillId="0" borderId="14" xfId="0" applyFont="1" applyBorder="1"/>
    <xf numFmtId="3" fontId="2" fillId="0" borderId="9" xfId="0" applyFont="1" applyBorder="1" applyAlignment="1">
      <alignment horizontal="center"/>
    </xf>
    <xf numFmtId="3" fontId="2" fillId="0" borderId="15" xfId="0" applyFont="1" applyBorder="1" applyAlignment="1">
      <alignment horizontal="center"/>
    </xf>
    <xf numFmtId="3" fontId="2" fillId="0" borderId="25" xfId="0" applyFont="1" applyBorder="1" applyAlignment="1">
      <alignment horizontal="center"/>
    </xf>
    <xf numFmtId="3" fontId="2" fillId="0" borderId="12" xfId="0" applyFont="1" applyBorder="1" applyAlignment="1">
      <alignment horizontal="center"/>
    </xf>
    <xf numFmtId="3" fontId="2" fillId="0" borderId="52" xfId="0" applyFont="1" applyBorder="1" applyAlignment="1">
      <alignment horizontal="center"/>
    </xf>
    <xf numFmtId="3" fontId="2" fillId="0" borderId="24" xfId="0" applyFont="1" applyBorder="1" applyAlignment="1">
      <alignment horizontal="center"/>
    </xf>
    <xf numFmtId="3" fontId="2" fillId="0" borderId="22" xfId="0" applyFont="1" applyBorder="1" applyAlignment="1">
      <alignment horizontal="center"/>
    </xf>
    <xf numFmtId="1" fontId="2" fillId="15" borderId="0" xfId="0" applyNumberFormat="1" applyFont="1" applyFill="1" applyAlignment="1">
      <alignment horizontal="center"/>
    </xf>
    <xf numFmtId="3" fontId="2" fillId="15" borderId="0" xfId="0" applyFont="1" applyFill="1" applyAlignment="1">
      <alignment horizontal="center"/>
    </xf>
    <xf numFmtId="3" fontId="2" fillId="15" borderId="0" xfId="0" applyFont="1" applyFill="1"/>
    <xf numFmtId="1" fontId="2" fillId="15" borderId="0" xfId="0" applyNumberFormat="1" applyFont="1" applyFill="1"/>
    <xf numFmtId="1" fontId="2" fillId="4" borderId="0" xfId="0" applyNumberFormat="1" applyFont="1" applyFill="1" applyAlignment="1">
      <alignment horizontal="left"/>
    </xf>
    <xf numFmtId="1" fontId="2" fillId="4" borderId="0" xfId="0" applyNumberFormat="1" applyFont="1" applyFill="1" applyAlignment="1">
      <alignment horizontal="center" vertical="top"/>
    </xf>
    <xf numFmtId="3" fontId="2" fillId="4" borderId="0" xfId="0" applyFont="1" applyFill="1" applyAlignment="1">
      <alignment horizontal="center" vertical="top"/>
    </xf>
    <xf numFmtId="164" fontId="2" fillId="15" borderId="0" xfId="0" applyNumberFormat="1" applyFont="1" applyFill="1"/>
    <xf numFmtId="3" fontId="2" fillId="4" borderId="0" xfId="0" applyFont="1" applyFill="1" applyAlignment="1">
      <alignment horizontal="left" vertical="top"/>
    </xf>
    <xf numFmtId="3" fontId="2" fillId="4" borderId="12" xfId="0" applyFont="1" applyFill="1" applyBorder="1" applyAlignment="1">
      <alignment horizontal="center"/>
    </xf>
    <xf numFmtId="49" fontId="10" fillId="4" borderId="13" xfId="0" applyNumberFormat="1" applyFont="1" applyFill="1" applyBorder="1"/>
    <xf numFmtId="3" fontId="2" fillId="4" borderId="13" xfId="0" applyFont="1" applyFill="1" applyBorder="1"/>
    <xf numFmtId="3" fontId="10" fillId="4" borderId="13" xfId="0" applyFont="1" applyFill="1" applyBorder="1"/>
    <xf numFmtId="3" fontId="10" fillId="4" borderId="0" xfId="0" applyFont="1" applyFill="1" applyProtection="1">
      <protection locked="0"/>
    </xf>
    <xf numFmtId="49" fontId="2" fillId="0" borderId="0" xfId="0" applyNumberFormat="1" applyFont="1"/>
    <xf numFmtId="3" fontId="9" fillId="0" borderId="0" xfId="0" applyFont="1"/>
    <xf numFmtId="3" fontId="12" fillId="0" borderId="0" xfId="0" applyFont="1" applyAlignment="1">
      <alignment horizontal="left" wrapText="1"/>
    </xf>
    <xf numFmtId="3" fontId="12" fillId="0" borderId="17" xfId="0" applyFont="1" applyBorder="1" applyAlignment="1">
      <alignment horizontal="left" wrapText="1"/>
    </xf>
    <xf numFmtId="3" fontId="13" fillId="0" borderId="21" xfId="0" applyFont="1" applyBorder="1" applyAlignment="1">
      <alignment horizontal="center"/>
    </xf>
    <xf numFmtId="3" fontId="13" fillId="0" borderId="11" xfId="0" applyFont="1" applyBorder="1" applyAlignment="1">
      <alignment horizontal="center"/>
    </xf>
    <xf numFmtId="3" fontId="13" fillId="0" borderId="15" xfId="0" applyFont="1" applyBorder="1" applyAlignment="1">
      <alignment horizontal="center"/>
    </xf>
    <xf numFmtId="3" fontId="18" fillId="0" borderId="0" xfId="0" applyFont="1" applyAlignment="1">
      <alignment horizontal="center"/>
    </xf>
    <xf numFmtId="3" fontId="10" fillId="4" borderId="21" xfId="0" applyFont="1" applyFill="1" applyBorder="1" applyAlignment="1">
      <alignment horizontal="center" vertical="center" wrapText="1"/>
    </xf>
    <xf numFmtId="3" fontId="10" fillId="4" borderId="11" xfId="0" applyFont="1" applyFill="1" applyBorder="1" applyAlignment="1">
      <alignment horizontal="center" vertical="center" wrapText="1"/>
    </xf>
    <xf numFmtId="3" fontId="10" fillId="4" borderId="15" xfId="0" applyFont="1" applyFill="1" applyBorder="1" applyAlignment="1">
      <alignment horizontal="center" vertical="center" wrapText="1"/>
    </xf>
    <xf numFmtId="49" fontId="10" fillId="11" borderId="0" xfId="0" applyNumberFormat="1" applyFont="1" applyFill="1" applyAlignment="1">
      <alignment horizontal="left"/>
    </xf>
    <xf numFmtId="3" fontId="10" fillId="11" borderId="0" xfId="0" applyFont="1" applyFill="1" applyAlignment="1">
      <alignment horizontal="left"/>
    </xf>
    <xf numFmtId="3" fontId="10" fillId="4" borderId="21" xfId="0" applyFont="1" applyFill="1" applyBorder="1" applyAlignment="1">
      <alignment horizontal="center" vertical="center"/>
    </xf>
    <xf numFmtId="3" fontId="10" fillId="4" borderId="11" xfId="0" applyFont="1" applyFill="1" applyBorder="1" applyAlignment="1">
      <alignment horizontal="center" vertical="center"/>
    </xf>
    <xf numFmtId="3" fontId="10" fillId="4" borderId="15" xfId="0" applyFont="1" applyFill="1" applyBorder="1" applyAlignment="1">
      <alignment horizontal="center" vertical="center"/>
    </xf>
    <xf numFmtId="3" fontId="2" fillId="4" borderId="21" xfId="0" applyFont="1" applyFill="1" applyBorder="1" applyAlignment="1">
      <alignment horizontal="center"/>
    </xf>
    <xf numFmtId="3" fontId="2" fillId="4" borderId="15" xfId="0" applyFont="1" applyFill="1" applyBorder="1" applyAlignment="1">
      <alignment horizontal="center"/>
    </xf>
    <xf numFmtId="49" fontId="10" fillId="0" borderId="21" xfId="0" applyNumberFormat="1" applyFont="1" applyBorder="1" applyAlignment="1">
      <alignment horizontal="left"/>
    </xf>
    <xf numFmtId="49" fontId="10" fillId="0" borderId="15" xfId="0" applyNumberFormat="1" applyFont="1" applyBorder="1" applyAlignment="1">
      <alignment horizontal="left"/>
    </xf>
    <xf numFmtId="3" fontId="10" fillId="0" borderId="21" xfId="0" applyFont="1" applyBorder="1" applyAlignment="1">
      <alignment horizontal="left"/>
    </xf>
    <xf numFmtId="3" fontId="10" fillId="0" borderId="15" xfId="0" applyFont="1" applyBorder="1" applyAlignment="1">
      <alignment horizontal="left"/>
    </xf>
    <xf numFmtId="3" fontId="111" fillId="11" borderId="12" xfId="0" applyFont="1" applyFill="1" applyBorder="1" applyAlignment="1">
      <alignment horizontal="center" vertical="center"/>
    </xf>
    <xf numFmtId="3" fontId="111" fillId="11" borderId="20" xfId="0" applyFont="1" applyFill="1" applyBorder="1" applyAlignment="1">
      <alignment horizontal="center" vertical="center"/>
    </xf>
    <xf numFmtId="0" fontId="110" fillId="11" borderId="12" xfId="10" applyFont="1" applyFill="1" applyBorder="1" applyAlignment="1">
      <alignment horizontal="center" vertical="center"/>
    </xf>
    <xf numFmtId="0" fontId="110" fillId="11" borderId="20" xfId="10" applyFont="1" applyFill="1" applyBorder="1" applyAlignment="1">
      <alignment horizontal="center" vertical="center"/>
    </xf>
    <xf numFmtId="0" fontId="94" fillId="11" borderId="3" xfId="10" applyFill="1" applyBorder="1" applyAlignment="1">
      <alignment horizontal="center" vertical="center" wrapText="1"/>
    </xf>
    <xf numFmtId="0" fontId="63" fillId="11" borderId="12" xfId="10" applyFont="1" applyFill="1" applyBorder="1" applyAlignment="1">
      <alignment vertical="center" wrapText="1"/>
    </xf>
    <xf numFmtId="0" fontId="84" fillId="11" borderId="12" xfId="10" quotePrefix="1" applyFont="1" applyFill="1" applyBorder="1" applyAlignment="1">
      <alignment horizontal="center" vertical="center"/>
    </xf>
    <xf numFmtId="0" fontId="52" fillId="11" borderId="0" xfId="10" applyFont="1" applyFill="1" applyAlignment="1">
      <alignment wrapText="1"/>
    </xf>
    <xf numFmtId="0" fontId="116" fillId="11" borderId="0" xfId="10" applyFont="1" applyFill="1" applyAlignment="1">
      <alignment wrapText="1"/>
    </xf>
    <xf numFmtId="0" fontId="57" fillId="11" borderId="0" xfId="10" applyFont="1" applyFill="1" applyAlignment="1">
      <alignment wrapText="1"/>
    </xf>
    <xf numFmtId="0" fontId="94" fillId="11" borderId="0" xfId="10" applyFill="1" applyAlignment="1">
      <alignment wrapText="1"/>
    </xf>
    <xf numFmtId="0" fontId="94" fillId="11" borderId="22" xfId="10" applyFill="1" applyBorder="1" applyAlignment="1">
      <alignment horizontal="center" vertical="center"/>
    </xf>
    <xf numFmtId="3" fontId="3" fillId="11" borderId="22" xfId="0" applyFont="1" applyFill="1" applyBorder="1" applyAlignment="1">
      <alignment horizontal="center" vertical="center"/>
    </xf>
    <xf numFmtId="3" fontId="99" fillId="11" borderId="12" xfId="0" applyFont="1" applyFill="1" applyBorder="1" applyAlignment="1">
      <alignment vertical="center"/>
    </xf>
    <xf numFmtId="3" fontId="99" fillId="11" borderId="20" xfId="0" applyFont="1" applyFill="1" applyBorder="1" applyAlignment="1">
      <alignment vertical="center"/>
    </xf>
    <xf numFmtId="3" fontId="112" fillId="11" borderId="12" xfId="0" quotePrefix="1" applyFont="1" applyFill="1" applyBorder="1" applyAlignment="1">
      <alignment horizontal="center" vertical="center"/>
    </xf>
    <xf numFmtId="3" fontId="3" fillId="11" borderId="20" xfId="0" applyFont="1" applyFill="1" applyBorder="1" applyAlignment="1">
      <alignment horizontal="center" vertical="center"/>
    </xf>
    <xf numFmtId="0" fontId="114" fillId="11" borderId="3" xfId="10" applyFont="1" applyFill="1" applyBorder="1" applyAlignment="1">
      <alignment vertical="center"/>
    </xf>
    <xf numFmtId="3" fontId="3" fillId="11" borderId="3" xfId="0" applyFont="1" applyFill="1" applyBorder="1" applyAlignment="1">
      <alignment vertical="center"/>
    </xf>
    <xf numFmtId="0" fontId="115" fillId="11" borderId="3" xfId="10" quotePrefix="1" applyFont="1" applyFill="1" applyBorder="1" applyAlignment="1">
      <alignment horizontal="center" vertical="center"/>
    </xf>
    <xf numFmtId="3" fontId="112" fillId="11" borderId="20" xfId="0" applyFont="1" applyFill="1" applyBorder="1" applyAlignment="1">
      <alignment horizontal="center" vertical="center"/>
    </xf>
    <xf numFmtId="3" fontId="10" fillId="11" borderId="21" xfId="0" applyFont="1" applyFill="1" applyBorder="1" applyAlignment="1">
      <alignment horizontal="center"/>
    </xf>
    <xf numFmtId="3" fontId="10" fillId="11" borderId="11" xfId="0" applyFont="1" applyFill="1" applyBorder="1" applyAlignment="1">
      <alignment horizontal="center"/>
    </xf>
    <xf numFmtId="3" fontId="10" fillId="11" borderId="15" xfId="0" applyFont="1" applyFill="1" applyBorder="1" applyAlignment="1">
      <alignment horizontal="center"/>
    </xf>
    <xf numFmtId="3" fontId="55" fillId="16" borderId="0" xfId="0" applyFont="1" applyFill="1" applyAlignment="1">
      <alignment wrapText="1"/>
    </xf>
    <xf numFmtId="3" fontId="20" fillId="0" borderId="64" xfId="6" applyNumberFormat="1" applyBorder="1" applyAlignment="1" applyProtection="1">
      <alignment horizontal="center" wrapText="1"/>
    </xf>
    <xf numFmtId="3" fontId="20" fillId="0" borderId="11" xfId="6" applyNumberFormat="1" applyBorder="1" applyAlignment="1" applyProtection="1">
      <alignment horizontal="center" wrapText="1"/>
    </xf>
    <xf numFmtId="3" fontId="20" fillId="0" borderId="65" xfId="6" applyNumberFormat="1" applyBorder="1" applyAlignment="1" applyProtection="1">
      <alignment horizontal="center" wrapText="1"/>
    </xf>
    <xf numFmtId="3" fontId="69" fillId="0" borderId="64" xfId="0" applyFont="1" applyBorder="1" applyAlignment="1">
      <alignment horizontal="center"/>
    </xf>
    <xf numFmtId="3" fontId="69" fillId="0" borderId="11" xfId="0" applyFont="1" applyBorder="1" applyAlignment="1">
      <alignment horizontal="center"/>
    </xf>
    <xf numFmtId="3" fontId="69" fillId="0" borderId="65" xfId="0" applyFont="1" applyBorder="1" applyAlignment="1">
      <alignment horizontal="center"/>
    </xf>
    <xf numFmtId="3" fontId="69" fillId="0" borderId="66" xfId="0" applyFont="1" applyBorder="1" applyAlignment="1">
      <alignment horizontal="center"/>
    </xf>
    <xf numFmtId="3" fontId="69" fillId="0" borderId="34" xfId="0" applyFont="1" applyBorder="1" applyAlignment="1">
      <alignment horizontal="center"/>
    </xf>
    <xf numFmtId="3" fontId="69" fillId="0" borderId="67" xfId="0" applyFont="1" applyBorder="1" applyAlignment="1">
      <alignment horizontal="center"/>
    </xf>
    <xf numFmtId="3" fontId="69" fillId="0" borderId="54" xfId="0" applyFont="1" applyBorder="1" applyAlignment="1">
      <alignment horizontal="center"/>
    </xf>
    <xf numFmtId="3" fontId="69" fillId="0" borderId="0" xfId="0" applyFont="1" applyAlignment="1">
      <alignment horizontal="center"/>
    </xf>
    <xf numFmtId="3" fontId="69" fillId="0" borderId="55" xfId="0" applyFont="1" applyBorder="1" applyAlignment="1">
      <alignment horizontal="center"/>
    </xf>
    <xf numFmtId="3" fontId="2" fillId="3" borderId="54" xfId="0" applyFont="1" applyFill="1" applyBorder="1" applyAlignment="1">
      <alignment horizontal="center"/>
    </xf>
    <xf numFmtId="3" fontId="2" fillId="3" borderId="0" xfId="0" applyFont="1" applyFill="1" applyAlignment="1">
      <alignment horizontal="center"/>
    </xf>
    <xf numFmtId="3" fontId="2" fillId="3" borderId="55" xfId="0" applyFont="1" applyFill="1" applyBorder="1" applyAlignment="1">
      <alignment horizontal="center"/>
    </xf>
    <xf numFmtId="3" fontId="2" fillId="3" borderId="68" xfId="0" applyFont="1" applyFill="1" applyBorder="1" applyAlignment="1">
      <alignment horizontal="center"/>
    </xf>
    <xf numFmtId="3" fontId="2" fillId="3" borderId="17" xfId="0" applyFont="1" applyFill="1" applyBorder="1" applyAlignment="1">
      <alignment horizontal="center"/>
    </xf>
    <xf numFmtId="3" fontId="2" fillId="3" borderId="69" xfId="0" applyFont="1" applyFill="1" applyBorder="1" applyAlignment="1">
      <alignment horizontal="center"/>
    </xf>
    <xf numFmtId="3" fontId="117" fillId="0" borderId="61" xfId="0" applyFont="1" applyBorder="1" applyAlignment="1">
      <alignment horizontal="center" vertical="center" wrapText="1"/>
    </xf>
    <xf numFmtId="3" fontId="117" fillId="0" borderId="62" xfId="0" applyFont="1" applyBorder="1" applyAlignment="1">
      <alignment horizontal="center" vertical="center" wrapText="1"/>
    </xf>
    <xf numFmtId="3" fontId="117" fillId="0" borderId="63" xfId="0" applyFont="1" applyBorder="1" applyAlignment="1">
      <alignment horizontal="center" vertical="center" wrapText="1"/>
    </xf>
    <xf numFmtId="3" fontId="105" fillId="0" borderId="0" xfId="0" applyFont="1" applyAlignment="1">
      <alignment horizontal="center" vertical="center" wrapText="1"/>
    </xf>
    <xf numFmtId="3" fontId="102" fillId="0" borderId="61" xfId="0" applyFont="1" applyBorder="1" applyAlignment="1">
      <alignment horizontal="center" vertical="center" wrapText="1"/>
    </xf>
    <xf numFmtId="3" fontId="102" fillId="0" borderId="62" xfId="0" applyFont="1" applyBorder="1" applyAlignment="1">
      <alignment horizontal="center" vertical="center" wrapText="1"/>
    </xf>
    <xf numFmtId="3" fontId="102" fillId="0" borderId="63" xfId="0" applyFont="1" applyBorder="1" applyAlignment="1">
      <alignment horizontal="center" vertical="center" wrapText="1"/>
    </xf>
    <xf numFmtId="0" fontId="3" fillId="20" borderId="72" xfId="9" applyFont="1" applyFill="1" applyBorder="1" applyAlignment="1" applyProtection="1">
      <alignment horizontal="left" vertical="top" wrapText="1"/>
      <protection hidden="1"/>
    </xf>
    <xf numFmtId="0" fontId="3" fillId="20" borderId="73" xfId="9" applyFont="1" applyFill="1" applyBorder="1" applyAlignment="1" applyProtection="1">
      <alignment horizontal="left" vertical="top" wrapText="1"/>
      <protection hidden="1"/>
    </xf>
    <xf numFmtId="0" fontId="99" fillId="20" borderId="73" xfId="9" applyFont="1" applyFill="1" applyBorder="1" applyAlignment="1" applyProtection="1">
      <alignment horizontal="left" vertical="top" wrapText="1"/>
      <protection hidden="1"/>
    </xf>
    <xf numFmtId="0" fontId="99" fillId="20" borderId="74" xfId="9" applyFont="1" applyFill="1" applyBorder="1" applyAlignment="1" applyProtection="1">
      <alignment horizontal="left" vertical="top" wrapText="1"/>
      <protection hidden="1"/>
    </xf>
    <xf numFmtId="0" fontId="99" fillId="20" borderId="75" xfId="9" applyFont="1" applyFill="1" applyBorder="1" applyAlignment="1" applyProtection="1">
      <alignment horizontal="left" vertical="top" wrapText="1"/>
      <protection hidden="1"/>
    </xf>
    <xf numFmtId="0" fontId="99" fillId="20" borderId="0" xfId="9" applyFont="1" applyFill="1" applyAlignment="1" applyProtection="1">
      <alignment horizontal="left" vertical="top" wrapText="1"/>
      <protection hidden="1"/>
    </xf>
    <xf numFmtId="0" fontId="99" fillId="20" borderId="71" xfId="9" applyFont="1" applyFill="1" applyBorder="1" applyAlignment="1" applyProtection="1">
      <alignment horizontal="left" vertical="top" wrapText="1"/>
      <protection hidden="1"/>
    </xf>
    <xf numFmtId="0" fontId="99" fillId="20" borderId="76" xfId="9" applyFont="1" applyFill="1" applyBorder="1" applyAlignment="1" applyProtection="1">
      <alignment horizontal="left" vertical="top" wrapText="1"/>
      <protection hidden="1"/>
    </xf>
    <xf numFmtId="0" fontId="99" fillId="20" borderId="77" xfId="9" applyFont="1" applyFill="1" applyBorder="1" applyAlignment="1" applyProtection="1">
      <alignment horizontal="left" vertical="top" wrapText="1"/>
      <protection hidden="1"/>
    </xf>
    <xf numFmtId="0" fontId="99" fillId="21" borderId="73" xfId="9" applyFont="1" applyFill="1" applyBorder="1" applyAlignment="1" applyProtection="1">
      <alignment horizontal="left" vertical="center" wrapText="1"/>
      <protection hidden="1"/>
    </xf>
    <xf numFmtId="0" fontId="99" fillId="21" borderId="74" xfId="9" applyFont="1" applyFill="1" applyBorder="1" applyAlignment="1" applyProtection="1">
      <alignment horizontal="left" vertical="center" wrapText="1"/>
      <protection hidden="1"/>
    </xf>
    <xf numFmtId="0" fontId="99" fillId="21" borderId="0" xfId="9" applyFont="1" applyFill="1" applyAlignment="1" applyProtection="1">
      <alignment horizontal="left" vertical="center" wrapText="1"/>
      <protection hidden="1"/>
    </xf>
    <xf numFmtId="0" fontId="99" fillId="21" borderId="71" xfId="9" applyFont="1" applyFill="1" applyBorder="1" applyAlignment="1" applyProtection="1">
      <alignment horizontal="left" vertical="center" wrapText="1"/>
      <protection hidden="1"/>
    </xf>
    <xf numFmtId="0" fontId="99" fillId="21" borderId="76" xfId="9" applyFont="1" applyFill="1" applyBorder="1" applyAlignment="1" applyProtection="1">
      <alignment horizontal="left" vertical="center" wrapText="1"/>
      <protection hidden="1"/>
    </xf>
    <xf numFmtId="0" fontId="99" fillId="21" borderId="77" xfId="9" applyFont="1" applyFill="1" applyBorder="1" applyAlignment="1" applyProtection="1">
      <alignment horizontal="left" vertical="center" wrapText="1"/>
      <protection hidden="1"/>
    </xf>
    <xf numFmtId="0" fontId="99" fillId="22" borderId="78" xfId="9" applyFont="1" applyFill="1" applyBorder="1" applyAlignment="1" applyProtection="1">
      <alignment horizontal="center" vertical="center" wrapText="1"/>
      <protection hidden="1"/>
    </xf>
    <xf numFmtId="0" fontId="99" fillId="22" borderId="79" xfId="9" applyFont="1" applyFill="1" applyBorder="1" applyAlignment="1" applyProtection="1">
      <alignment horizontal="center" vertical="center" wrapText="1"/>
      <protection hidden="1"/>
    </xf>
    <xf numFmtId="0" fontId="99" fillId="22" borderId="80" xfId="9" applyFont="1" applyFill="1" applyBorder="1" applyAlignment="1" applyProtection="1">
      <alignment horizontal="center" vertical="center" wrapText="1"/>
      <protection hidden="1"/>
    </xf>
    <xf numFmtId="3" fontId="0" fillId="10" borderId="80" xfId="0" applyFill="1" applyBorder="1" applyAlignment="1">
      <alignment horizontal="center" vertical="center"/>
    </xf>
    <xf numFmtId="3" fontId="0" fillId="10" borderId="79" xfId="0" applyFill="1" applyBorder="1" applyAlignment="1">
      <alignment horizontal="center" vertical="center"/>
    </xf>
    <xf numFmtId="3" fontId="3" fillId="11" borderId="20" xfId="0" applyFont="1" applyFill="1" applyBorder="1" applyAlignment="1"/>
    <xf numFmtId="3" fontId="3" fillId="11" borderId="24" xfId="0" applyFont="1" applyFill="1" applyBorder="1" applyAlignment="1"/>
  </cellXfs>
  <cellStyles count="15">
    <cellStyle name="Comma" xfId="1" builtinId="3"/>
    <cellStyle name="Comma 2" xfId="2" xr:uid="{00000000-0005-0000-0000-000001000000}"/>
    <cellStyle name="Comma 2 2" xfId="3" xr:uid="{00000000-0005-0000-0000-000002000000}"/>
    <cellStyle name="Currency" xfId="4" builtinId="4"/>
    <cellStyle name="Good" xfId="5" builtinId="26"/>
    <cellStyle name="Hyperlink" xfId="6" builtinId="8"/>
    <cellStyle name="Normal" xfId="0" builtinId="0"/>
    <cellStyle name="Normal 2" xfId="7" xr:uid="{00000000-0005-0000-0000-000007000000}"/>
    <cellStyle name="Normal 3" xfId="8" xr:uid="{00000000-0005-0000-0000-000008000000}"/>
    <cellStyle name="Normal 4" xfId="9" xr:uid="{00000000-0005-0000-0000-000009000000}"/>
    <cellStyle name="Normal 5" xfId="10" xr:uid="{00000000-0005-0000-0000-00000A000000}"/>
    <cellStyle name="Normal 6" xfId="11" xr:uid="{00000000-0005-0000-0000-00000B000000}"/>
    <cellStyle name="Normal_all_2" xfId="12" xr:uid="{00000000-0005-0000-0000-00000C000000}"/>
    <cellStyle name="Normal_Sheet1" xfId="13" xr:uid="{00000000-0005-0000-0000-00000D000000}"/>
    <cellStyle name="Percent" xfId="14" builtinId="5"/>
  </cellStyles>
  <dxfs count="6">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font>
      <fill>
        <patternFill>
          <bgColor indexed="4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Drop" dropStyle="combo" dx="22" fmlaLink="$D$2" fmlaRange="schools"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2697480</xdr:colOff>
          <xdr:row>11</xdr:row>
          <xdr:rowOff>1287780</xdr:rowOff>
        </xdr:from>
        <xdr:to>
          <xdr:col>6</xdr:col>
          <xdr:colOff>0</xdr:colOff>
          <xdr:row>13</xdr:row>
          <xdr:rowOff>419100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0" i="0" u="none" strike="noStrike" baseline="0">
                  <a:solidFill>
                    <a:srgbClr val="000000"/>
                  </a:solidFill>
                  <a:latin typeface="Arial"/>
                  <a:cs typeface="Arial"/>
                </a:rPr>
                <a:t>Run Edit Program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9</xdr:row>
          <xdr:rowOff>1104900</xdr:rowOff>
        </xdr:from>
        <xdr:to>
          <xdr:col>1</xdr:col>
          <xdr:colOff>23042880</xdr:colOff>
          <xdr:row>12</xdr:row>
          <xdr:rowOff>205740</xdr:rowOff>
        </xdr:to>
        <xdr:sp macro="" textlink="">
          <xdr:nvSpPr>
            <xdr:cNvPr id="26628" name="Button 4" hidden="1">
              <a:extLst>
                <a:ext uri="{63B3BB69-23CF-44E3-9099-C40C66FF867C}">
                  <a14:compatExt spid="_x0000_s26628"/>
                </a:ext>
                <a:ext uri="{FF2B5EF4-FFF2-40B4-BE49-F238E27FC236}">
                  <a16:creationId xmlns:a16="http://schemas.microsoft.com/office/drawing/2014/main" id="{00000000-0008-0000-0400-0000046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0" i="0" u="none" strike="noStrike" baseline="0">
                  <a:solidFill>
                    <a:srgbClr val="000000"/>
                  </a:solidFill>
                  <a:latin typeface="Arial"/>
                  <a:cs typeface="Arial"/>
                </a:rPr>
                <a:t>Print District Total</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1623060</xdr:colOff>
          <xdr:row>7</xdr:row>
          <xdr:rowOff>76200</xdr:rowOff>
        </xdr:from>
        <xdr:to>
          <xdr:col>3</xdr:col>
          <xdr:colOff>3032760</xdr:colOff>
          <xdr:row>10</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0" i="0" u="none" strike="noStrike" baseline="0">
                  <a:solidFill>
                    <a:srgbClr val="000000"/>
                  </a:solidFill>
                  <a:latin typeface="Arial"/>
                  <a:cs typeface="Arial"/>
                </a:rPr>
                <a:t>Update to Database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15240</xdr:colOff>
          <xdr:row>7</xdr:row>
          <xdr:rowOff>91440</xdr:rowOff>
        </xdr:from>
        <xdr:to>
          <xdr:col>3</xdr:col>
          <xdr:colOff>1546860</xdr:colOff>
          <xdr:row>10</xdr:row>
          <xdr:rowOff>76200</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0" i="0" u="none" strike="noStrike" baseline="0">
                  <a:solidFill>
                    <a:srgbClr val="000000"/>
                  </a:solidFill>
                  <a:latin typeface="Arial"/>
                  <a:cs typeface="Arial"/>
                </a:rPr>
                <a:t>Print this School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3368040</xdr:rowOff>
        </xdr:from>
        <xdr:to>
          <xdr:col>3</xdr:col>
          <xdr:colOff>3383280</xdr:colOff>
          <xdr:row>4</xdr:row>
          <xdr:rowOff>3810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5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13</xdr:col>
      <xdr:colOff>329</xdr:colOff>
      <xdr:row>35</xdr:row>
      <xdr:rowOff>98606</xdr:rowOff>
    </xdr:from>
    <xdr:to>
      <xdr:col>26</xdr:col>
      <xdr:colOff>1770</xdr:colOff>
      <xdr:row>64</xdr:row>
      <xdr:rowOff>7403</xdr:rowOff>
    </xdr:to>
    <xdr:sp macro="" textlink="">
      <xdr:nvSpPr>
        <xdr:cNvPr id="2" name="Text Box 1">
          <a:extLst>
            <a:ext uri="{FF2B5EF4-FFF2-40B4-BE49-F238E27FC236}">
              <a16:creationId xmlns:a16="http://schemas.microsoft.com/office/drawing/2014/main" id="{1B8FFB3F-88CA-E9B3-51C8-F3C4BDE775AF}"/>
            </a:ext>
          </a:extLst>
        </xdr:cNvPr>
        <xdr:cNvSpPr txBox="1">
          <a:spLocks noChangeArrowheads="1"/>
        </xdr:cNvSpPr>
      </xdr:nvSpPr>
      <xdr:spPr bwMode="auto">
        <a:xfrm>
          <a:off x="16015606" y="12123964"/>
          <a:ext cx="9451949" cy="6735536"/>
        </a:xfrm>
        <a:prstGeom prst="rect">
          <a:avLst/>
        </a:prstGeom>
        <a:solidFill>
          <a:schemeClr val="bg1">
            <a:lumMod val="95000"/>
          </a:schemeClr>
        </a:solidFill>
        <a:ln w="28575">
          <a:solidFill>
            <a:schemeClr val="bg1">
              <a:lumMod val="50000"/>
            </a:schemeClr>
          </a:solidFill>
          <a:miter lim="800000"/>
          <a:headEnd/>
          <a:tailEnd/>
        </a:ln>
      </xdr:spPr>
      <xdr:txBody>
        <a:bodyPr vertOverflow="clip" wrap="square" lIns="27432" tIns="27432" rIns="0" bIns="0" anchor="t" upright="1"/>
        <a:lstStyle/>
        <a:p>
          <a:pPr rtl="0">
            <a:lnSpc>
              <a:spcPts val="1500"/>
            </a:lnSpc>
          </a:pPr>
          <a:r>
            <a:rPr lang="en-US" sz="1300" b="1" i="0" baseline="0">
              <a:effectLst/>
              <a:latin typeface="+mn-lt"/>
              <a:ea typeface="+mn-ea"/>
              <a:cs typeface="+mn-cs"/>
            </a:rPr>
            <a:t>Excess Cost Calculation Instructions </a:t>
          </a:r>
          <a:endParaRPr lang="en-US" sz="1300">
            <a:effectLst/>
          </a:endParaRPr>
        </a:p>
        <a:p>
          <a:pPr rtl="0"/>
          <a:r>
            <a:rPr lang="en-US" sz="1100" b="0" i="0" baseline="0">
              <a:solidFill>
                <a:sysClr val="windowText" lastClr="000000"/>
              </a:solidFill>
              <a:effectLst/>
              <a:latin typeface="+mn-lt"/>
              <a:ea typeface="+mn-ea"/>
              <a:cs typeface="+mn-cs"/>
            </a:rPr>
            <a:t>IDEA funds must only be used to pay the excess costs of providing special education and related services to children with disabilities.  34 CFR § 300.202(a)(2).  </a:t>
          </a:r>
          <a:r>
            <a:rPr lang="en-US" sz="1100" b="0" i="0" baseline="0">
              <a:effectLst/>
              <a:latin typeface="+mn-lt"/>
              <a:ea typeface="+mn-ea"/>
              <a:cs typeface="+mn-cs"/>
            </a:rPr>
            <a:t>34 CFR § 300.16 defines the term to mean costs that are in  excess of the average annual per-student expenditure in an LEA during the preceding school year for an elementary or secondary school student as may be appropriate</a:t>
          </a:r>
          <a:r>
            <a:rPr lang="en-US" sz="1100" b="0" i="0" strike="noStrike" baseline="0">
              <a:effectLst/>
              <a:latin typeface="+mn-lt"/>
              <a:ea typeface="+mn-ea"/>
              <a:cs typeface="+mn-cs"/>
            </a:rPr>
            <a:t>. Each district is required to complete separate calculations for elementary schools and secondary schools.</a:t>
          </a:r>
          <a:endParaRPr lang="en-US" strike="noStrike" baseline="0">
            <a:effectLst/>
          </a:endParaRPr>
        </a:p>
        <a:p>
          <a:pPr rtl="0"/>
          <a:endParaRPr lang="en-US" sz="1100" b="1" i="0" baseline="0">
            <a:effectLst/>
            <a:latin typeface="+mn-lt"/>
            <a:ea typeface="+mn-ea"/>
            <a:cs typeface="+mn-cs"/>
          </a:endParaRPr>
        </a:p>
        <a:p>
          <a:pPr rtl="0"/>
          <a:r>
            <a:rPr lang="en-US" sz="1100" b="1" i="0" baseline="0">
              <a:solidFill>
                <a:sysClr val="windowText" lastClr="000000"/>
              </a:solidFill>
              <a:effectLst/>
              <a:latin typeface="+mn-lt"/>
              <a:ea typeface="+mn-ea"/>
              <a:cs typeface="+mn-cs"/>
            </a:rPr>
            <a:t>Elementary and Secondary Calculations</a:t>
          </a:r>
        </a:p>
        <a:p>
          <a:pPr rtl="0"/>
          <a:r>
            <a:rPr lang="en-US" sz="1100" b="0" i="1" baseline="0">
              <a:solidFill>
                <a:srgbClr val="FF0000"/>
              </a:solidFill>
              <a:effectLst/>
              <a:latin typeface="+mn-lt"/>
              <a:ea typeface="+mn-ea"/>
              <a:cs typeface="+mn-cs"/>
            </a:rPr>
            <a:t>Complete once for Elementary Students and once for Secondary Students</a:t>
          </a:r>
        </a:p>
        <a:p>
          <a:pPr rtl="0"/>
          <a:r>
            <a:rPr lang="en-US" sz="1100" b="0" i="0" baseline="0">
              <a:solidFill>
                <a:sysClr val="windowText" lastClr="000000"/>
              </a:solidFill>
              <a:effectLst/>
              <a:latin typeface="+mn-lt"/>
              <a:ea typeface="+mn-ea"/>
              <a:cs typeface="+mn-cs"/>
            </a:rPr>
            <a:t>If final audited expense or enrollment information for FY23 is not available at the time you are submitting this application, you may use preliminary or estimated amounts, which will be subject to updating as final information becomes available.</a:t>
          </a:r>
          <a:endParaRPr lang="en-US" b="0" i="0">
            <a:solidFill>
              <a:sysClr val="windowText" lastClr="000000"/>
            </a:solidFill>
            <a:effectLst/>
          </a:endParaRPr>
        </a:p>
        <a:p>
          <a:r>
            <a:rPr lang="en-US" sz="1100">
              <a:effectLst/>
              <a:latin typeface="+mn-lt"/>
              <a:ea typeface="+mn-ea"/>
              <a:cs typeface="+mn-cs"/>
            </a:rPr>
            <a:t> </a:t>
          </a:r>
        </a:p>
        <a:p>
          <a:r>
            <a:rPr lang="en-US" sz="1100" b="1">
              <a:effectLst/>
              <a:latin typeface="+mn-lt"/>
              <a:ea typeface="+mn-ea"/>
              <a:cs typeface="+mn-cs"/>
            </a:rPr>
            <a:t> A</a:t>
          </a:r>
          <a:r>
            <a:rPr lang="en-US" sz="1100">
              <a:effectLst/>
              <a:latin typeface="+mn-lt"/>
              <a:ea typeface="+mn-ea"/>
              <a:cs typeface="+mn-cs"/>
            </a:rPr>
            <a:t>.</a:t>
          </a:r>
          <a:r>
            <a:rPr lang="en-US" sz="1100" baseline="0">
              <a:effectLst/>
              <a:latin typeface="+mn-lt"/>
              <a:ea typeface="+mn-ea"/>
              <a:cs typeface="+mn-cs"/>
            </a:rPr>
            <a:t>   </a:t>
          </a:r>
          <a:r>
            <a:rPr lang="en-US" sz="1100">
              <a:effectLst/>
              <a:latin typeface="+mn-lt"/>
              <a:ea typeface="+mn-ea"/>
              <a:cs typeface="+mn-cs"/>
            </a:rPr>
            <a:t>Total Expenditures from all sources: Enter the total elementary or secondary expenditures for</a:t>
          </a:r>
          <a:endParaRPr lang="en-US">
            <a:effectLst/>
          </a:endParaRPr>
        </a:p>
        <a:p>
          <a:r>
            <a:rPr lang="en-US" sz="1100">
              <a:effectLst/>
              <a:latin typeface="+mn-lt"/>
              <a:ea typeface="+mn-ea"/>
              <a:cs typeface="+mn-cs"/>
            </a:rPr>
            <a:t>        the previous fiscal year (</a:t>
          </a:r>
          <a:r>
            <a:rPr lang="en-US" sz="1100" u="sng">
              <a:effectLst/>
              <a:latin typeface="+mn-lt"/>
              <a:ea typeface="+mn-ea"/>
              <a:cs typeface="+mn-cs"/>
            </a:rPr>
            <a:t>FY24</a:t>
          </a:r>
          <a:r>
            <a:rPr lang="en-US" sz="1100">
              <a:effectLst/>
              <a:latin typeface="+mn-lt"/>
              <a:ea typeface="+mn-ea"/>
              <a:cs typeface="+mn-cs"/>
            </a:rPr>
            <a:t>) for ALL elementary or</a:t>
          </a:r>
          <a:r>
            <a:rPr lang="en-US" sz="1100" baseline="0">
              <a:effectLst/>
              <a:latin typeface="+mn-lt"/>
              <a:ea typeface="+mn-ea"/>
              <a:cs typeface="+mn-cs"/>
            </a:rPr>
            <a:t> secondary </a:t>
          </a:r>
          <a:r>
            <a:rPr lang="en-US" sz="1100">
              <a:effectLst/>
              <a:latin typeface="+mn-lt"/>
              <a:ea typeface="+mn-ea"/>
              <a:cs typeface="+mn-cs"/>
            </a:rPr>
            <a:t>students from ALL sources </a:t>
          </a:r>
          <a:endParaRPr lang="en-US">
            <a:effectLst/>
          </a:endParaRPr>
        </a:p>
        <a:p>
          <a:r>
            <a:rPr lang="en-US" sz="1100">
              <a:effectLst/>
              <a:latin typeface="+mn-lt"/>
              <a:ea typeface="+mn-ea"/>
              <a:cs typeface="+mn-cs"/>
            </a:rPr>
            <a:t>        (local, state, and federal).</a:t>
          </a:r>
          <a:endParaRPr lang="en-US">
            <a:effectLst/>
          </a:endParaRPr>
        </a:p>
        <a:p>
          <a:r>
            <a:rPr lang="en-US" sz="1100" b="1" baseline="0">
              <a:effectLst/>
              <a:latin typeface="+mn-lt"/>
              <a:ea typeface="+mn-ea"/>
              <a:cs typeface="+mn-cs"/>
            </a:rPr>
            <a:t> B.    </a:t>
          </a:r>
          <a:r>
            <a:rPr lang="en-US" sz="1100" b="0">
              <a:effectLst/>
              <a:latin typeface="+mn-lt"/>
              <a:ea typeface="+mn-ea"/>
              <a:cs typeface="+mn-cs"/>
            </a:rPr>
            <a:t>T</a:t>
          </a:r>
          <a:r>
            <a:rPr lang="en-US" sz="1100">
              <a:effectLst/>
              <a:latin typeface="+mn-lt"/>
              <a:ea typeface="+mn-ea"/>
              <a:cs typeface="+mn-cs"/>
            </a:rPr>
            <a:t>otal Capital Outlay and Debt Services: Enter the amount spent for capital outlay or debt </a:t>
          </a:r>
          <a:endParaRPr lang="en-US">
            <a:effectLst/>
          </a:endParaRPr>
        </a:p>
        <a:p>
          <a:pPr>
            <a:lnSpc>
              <a:spcPts val="1200"/>
            </a:lnSpc>
          </a:pPr>
          <a:r>
            <a:rPr lang="en-US" sz="1100">
              <a:effectLst/>
              <a:latin typeface="+mn-lt"/>
              <a:ea typeface="+mn-ea"/>
              <a:cs typeface="+mn-cs"/>
            </a:rPr>
            <a:t>         services in </a:t>
          </a:r>
          <a:r>
            <a:rPr lang="en-US" sz="1100" u="sng">
              <a:effectLst/>
              <a:latin typeface="+mn-lt"/>
              <a:ea typeface="+mn-ea"/>
              <a:cs typeface="+mn-cs"/>
            </a:rPr>
            <a:t>FY24</a:t>
          </a:r>
          <a:r>
            <a:rPr lang="en-US" sz="1100">
              <a:effectLst/>
              <a:latin typeface="+mn-lt"/>
              <a:ea typeface="+mn-ea"/>
              <a:cs typeface="+mn-cs"/>
            </a:rPr>
            <a:t>.	</a:t>
          </a:r>
          <a:endParaRPr lang="en-US">
            <a:effectLst/>
          </a:endParaRPr>
        </a:p>
        <a:p>
          <a:r>
            <a:rPr lang="en-US" sz="1100" b="1">
              <a:effectLst/>
              <a:latin typeface="+mn-lt"/>
              <a:ea typeface="+mn-ea"/>
              <a:cs typeface="+mn-cs"/>
            </a:rPr>
            <a:t> C.    </a:t>
          </a:r>
          <a:r>
            <a:rPr lang="en-US" sz="1100">
              <a:effectLst/>
              <a:latin typeface="+mn-lt"/>
              <a:ea typeface="+mn-ea"/>
              <a:cs typeface="+mn-cs"/>
            </a:rPr>
            <a:t>Total IDEA, Part B Expenditures: Enter the total amount of federal IDEA special education grant-funded</a:t>
          </a:r>
          <a:endParaRPr lang="en-US">
            <a:effectLst/>
          </a:endParaRPr>
        </a:p>
        <a:p>
          <a:pPr>
            <a:lnSpc>
              <a:spcPts val="1200"/>
            </a:lnSpc>
          </a:pPr>
          <a:r>
            <a:rPr lang="en-US" sz="1100">
              <a:effectLst/>
              <a:latin typeface="+mn-lt"/>
              <a:ea typeface="+mn-ea"/>
              <a:cs typeface="+mn-cs"/>
            </a:rPr>
            <a:t>         expenditures</a:t>
          </a:r>
          <a:r>
            <a:rPr lang="en-US" sz="1100" baseline="0">
              <a:effectLst/>
              <a:latin typeface="+mn-lt"/>
              <a:ea typeface="+mn-ea"/>
              <a:cs typeface="+mn-cs"/>
            </a:rPr>
            <a:t> </a:t>
          </a:r>
          <a:r>
            <a:rPr lang="en-US" sz="1100">
              <a:effectLst/>
              <a:latin typeface="+mn-lt"/>
              <a:ea typeface="+mn-ea"/>
              <a:cs typeface="+mn-cs"/>
            </a:rPr>
            <a:t>in </a:t>
          </a:r>
          <a:r>
            <a:rPr lang="en-US" sz="1100" u="sng">
              <a:effectLst/>
              <a:latin typeface="+mn-lt"/>
              <a:ea typeface="+mn-ea"/>
              <a:cs typeface="+mn-cs"/>
            </a:rPr>
            <a:t>FY24</a:t>
          </a:r>
          <a:r>
            <a:rPr lang="en-US" sz="1100">
              <a:effectLst/>
              <a:latin typeface="+mn-lt"/>
              <a:ea typeface="+mn-ea"/>
              <a:cs typeface="+mn-cs"/>
            </a:rPr>
            <a:t>. 	</a:t>
          </a:r>
          <a:endParaRPr lang="en-US">
            <a:effectLst/>
          </a:endParaRPr>
        </a:p>
        <a:p>
          <a:pPr>
            <a:lnSpc>
              <a:spcPts val="1200"/>
            </a:lnSpc>
          </a:pPr>
          <a:r>
            <a:rPr lang="en-US" sz="1100" b="1">
              <a:effectLst/>
              <a:latin typeface="+mn-lt"/>
              <a:ea typeface="+mn-ea"/>
              <a:cs typeface="+mn-cs"/>
            </a:rPr>
            <a:t> D.    </a:t>
          </a:r>
          <a:r>
            <a:rPr lang="en-US" sz="1100">
              <a:effectLst/>
              <a:latin typeface="+mn-lt"/>
              <a:ea typeface="+mn-ea"/>
              <a:cs typeface="+mn-cs"/>
            </a:rPr>
            <a:t>Total Title I, Part A Expenditures: Enter the total amount of federal ESEA Title I, part A grant-funded</a:t>
          </a:r>
          <a:endParaRPr lang="en-US">
            <a:effectLst/>
          </a:endParaRPr>
        </a:p>
        <a:p>
          <a:r>
            <a:rPr lang="en-US" sz="1100">
              <a:effectLst/>
              <a:latin typeface="+mn-lt"/>
              <a:ea typeface="+mn-ea"/>
              <a:cs typeface="+mn-cs"/>
            </a:rPr>
            <a:t>         expenditures</a:t>
          </a:r>
          <a:r>
            <a:rPr lang="en-US" sz="1100" baseline="0">
              <a:effectLst/>
              <a:latin typeface="+mn-lt"/>
              <a:ea typeface="+mn-ea"/>
              <a:cs typeface="+mn-cs"/>
            </a:rPr>
            <a:t> </a:t>
          </a:r>
          <a:r>
            <a:rPr lang="en-US" sz="1100">
              <a:effectLst/>
              <a:latin typeface="+mn-lt"/>
              <a:ea typeface="+mn-ea"/>
              <a:cs typeface="+mn-cs"/>
            </a:rPr>
            <a:t>in </a:t>
          </a:r>
          <a:r>
            <a:rPr lang="en-US" sz="1100" u="sng">
              <a:effectLst/>
              <a:latin typeface="+mn-lt"/>
              <a:ea typeface="+mn-ea"/>
              <a:cs typeface="+mn-cs"/>
            </a:rPr>
            <a:t>FY24</a:t>
          </a:r>
          <a:r>
            <a:rPr lang="en-US" sz="1100">
              <a:effectLst/>
              <a:latin typeface="+mn-lt"/>
              <a:ea typeface="+mn-ea"/>
              <a:cs typeface="+mn-cs"/>
            </a:rPr>
            <a:t>. </a:t>
          </a:r>
        </a:p>
        <a:p>
          <a:pPr>
            <a:lnSpc>
              <a:spcPts val="1200"/>
            </a:lnSpc>
          </a:pPr>
          <a:r>
            <a:rPr lang="en-US" sz="1100" b="1">
              <a:effectLst/>
              <a:latin typeface="+mn-lt"/>
              <a:ea typeface="+mn-ea"/>
              <a:cs typeface="+mn-cs"/>
            </a:rPr>
            <a:t> E.    </a:t>
          </a:r>
          <a:r>
            <a:rPr lang="en-US" sz="1100">
              <a:effectLst/>
              <a:latin typeface="+mn-lt"/>
              <a:ea typeface="+mn-ea"/>
              <a:cs typeface="+mn-cs"/>
            </a:rPr>
            <a:t>Total Title III, Parts A and B Expenditures: Enter the total amount of federal ESEA Title III, parts</a:t>
          </a:r>
          <a:endParaRPr lang="en-US">
            <a:effectLst/>
          </a:endParaRPr>
        </a:p>
        <a:p>
          <a:pPr>
            <a:lnSpc>
              <a:spcPts val="1200"/>
            </a:lnSpc>
          </a:pPr>
          <a:r>
            <a:rPr lang="en-US" sz="1100">
              <a:effectLst/>
              <a:latin typeface="+mn-lt"/>
              <a:ea typeface="+mn-ea"/>
              <a:cs typeface="+mn-cs"/>
            </a:rPr>
            <a:t>         A &amp; B for Limited English Proficient students grant-funded expenditures</a:t>
          </a:r>
          <a:r>
            <a:rPr lang="en-US" sz="1100" baseline="0">
              <a:effectLst/>
              <a:latin typeface="+mn-lt"/>
              <a:ea typeface="+mn-ea"/>
              <a:cs typeface="+mn-cs"/>
            </a:rPr>
            <a:t> </a:t>
          </a:r>
          <a:r>
            <a:rPr lang="en-US" sz="1100">
              <a:effectLst/>
              <a:latin typeface="+mn-lt"/>
              <a:ea typeface="+mn-ea"/>
              <a:cs typeface="+mn-cs"/>
            </a:rPr>
            <a:t>in </a:t>
          </a:r>
          <a:r>
            <a:rPr lang="en-US" sz="1100" u="sng">
              <a:effectLst/>
              <a:latin typeface="+mn-lt"/>
              <a:ea typeface="+mn-ea"/>
              <a:cs typeface="+mn-cs"/>
            </a:rPr>
            <a:t>FY24</a:t>
          </a:r>
          <a:r>
            <a:rPr lang="en-US" sz="1100">
              <a:effectLst/>
              <a:latin typeface="+mn-lt"/>
              <a:ea typeface="+mn-ea"/>
              <a:cs typeface="+mn-cs"/>
            </a:rPr>
            <a:t>. </a:t>
          </a:r>
        </a:p>
        <a:p>
          <a:r>
            <a:rPr lang="en-US" sz="1100" b="1">
              <a:effectLst/>
              <a:latin typeface="+mn-lt"/>
              <a:ea typeface="+mn-ea"/>
              <a:cs typeface="+mn-cs"/>
            </a:rPr>
            <a:t> F.     </a:t>
          </a:r>
          <a:r>
            <a:rPr lang="en-US" sz="1100">
              <a:effectLst/>
              <a:latin typeface="+mn-lt"/>
              <a:ea typeface="+mn-ea"/>
              <a:cs typeface="+mn-cs"/>
            </a:rPr>
            <a:t>State/Local funds for students with disabilities: Enter the total state and local funds for special </a:t>
          </a:r>
          <a:endParaRPr lang="en-US">
            <a:effectLst/>
          </a:endParaRPr>
        </a:p>
        <a:p>
          <a:pPr>
            <a:lnSpc>
              <a:spcPts val="1200"/>
            </a:lnSpc>
          </a:pPr>
          <a:r>
            <a:rPr lang="en-US" sz="1100">
              <a:effectLst/>
              <a:latin typeface="+mn-lt"/>
              <a:ea typeface="+mn-ea"/>
              <a:cs typeface="+mn-cs"/>
            </a:rPr>
            <a:t>         education the District received in </a:t>
          </a:r>
          <a:r>
            <a:rPr lang="en-US" sz="1100" u="sng">
              <a:effectLst/>
              <a:latin typeface="+mn-lt"/>
              <a:ea typeface="+mn-ea"/>
              <a:cs typeface="+mn-cs"/>
            </a:rPr>
            <a:t>FY24</a:t>
          </a:r>
          <a:r>
            <a:rPr lang="en-US" sz="1100">
              <a:effectLst/>
              <a:latin typeface="+mn-lt"/>
              <a:ea typeface="+mn-ea"/>
              <a:cs typeface="+mn-cs"/>
            </a:rPr>
            <a:t> (Including, but not limited to: spending</a:t>
          </a:r>
          <a:endParaRPr lang="en-US">
            <a:effectLst/>
          </a:endParaRPr>
        </a:p>
        <a:p>
          <a:pPr>
            <a:lnSpc>
              <a:spcPts val="1200"/>
            </a:lnSpc>
          </a:pPr>
          <a:r>
            <a:rPr lang="en-US" sz="1100">
              <a:effectLst/>
              <a:latin typeface="+mn-lt"/>
              <a:ea typeface="+mn-ea"/>
              <a:cs typeface="+mn-cs"/>
            </a:rPr>
            <a:t>         from “circuit breaker” reimbursements or any state grant programs for special education.)</a:t>
          </a:r>
          <a:endParaRPr lang="en-US">
            <a:effectLst/>
          </a:endParaRPr>
        </a:p>
        <a:p>
          <a:r>
            <a:rPr lang="en-US" sz="1100" b="1">
              <a:effectLst/>
              <a:latin typeface="+mn-lt"/>
              <a:ea typeface="+mn-ea"/>
              <a:cs typeface="+mn-cs"/>
            </a:rPr>
            <a:t> G.</a:t>
          </a:r>
          <a:r>
            <a:rPr lang="en-US" sz="1100">
              <a:effectLst/>
              <a:latin typeface="+mn-lt"/>
              <a:ea typeface="+mn-ea"/>
              <a:cs typeface="+mn-cs"/>
            </a:rPr>
            <a:t>    State/Local funds for Title I and Title III programming: Enter the total state and local funds for programs developed under the ESEA, Title I,</a:t>
          </a:r>
          <a:endParaRPr lang="en-US">
            <a:effectLst/>
          </a:endParaRPr>
        </a:p>
        <a:p>
          <a:pPr>
            <a:lnSpc>
              <a:spcPts val="1200"/>
            </a:lnSpc>
          </a:pPr>
          <a:r>
            <a:rPr lang="en-US" sz="1100">
              <a:effectLst/>
              <a:latin typeface="+mn-lt"/>
              <a:ea typeface="+mn-ea"/>
              <a:cs typeface="+mn-cs"/>
            </a:rPr>
            <a:t>         Part A and Title III, Parts A &amp; B the District expended in </a:t>
          </a:r>
          <a:r>
            <a:rPr lang="en-US" sz="1100" u="sng">
              <a:effectLst/>
              <a:latin typeface="+mn-lt"/>
              <a:ea typeface="+mn-ea"/>
              <a:cs typeface="+mn-cs"/>
            </a:rPr>
            <a:t>FY24</a:t>
          </a:r>
          <a:r>
            <a:rPr lang="en-US" sz="1100">
              <a:effectLst/>
              <a:latin typeface="+mn-lt"/>
              <a:ea typeface="+mn-ea"/>
              <a:cs typeface="+mn-cs"/>
            </a:rPr>
            <a:t>. (For example any allowable expenditures for low income, neglected, LEP or</a:t>
          </a:r>
          <a:endParaRPr lang="en-US">
            <a:effectLst/>
          </a:endParaRPr>
        </a:p>
        <a:p>
          <a:pPr>
            <a:lnSpc>
              <a:spcPts val="1100"/>
            </a:lnSpc>
          </a:pPr>
          <a:r>
            <a:rPr lang="en-US" sz="1100">
              <a:effectLst/>
              <a:latin typeface="+mn-lt"/>
              <a:ea typeface="+mn-ea"/>
              <a:cs typeface="+mn-cs"/>
            </a:rPr>
            <a:t>         migrant students such as salaries/fringes for core instructional staff, tutoring services, parent transportation, licenses for software or</a:t>
          </a:r>
          <a:endParaRPr lang="en-US">
            <a:effectLst/>
          </a:endParaRPr>
        </a:p>
        <a:p>
          <a:r>
            <a:rPr lang="en-US" sz="1100">
              <a:effectLst/>
              <a:latin typeface="+mn-lt"/>
              <a:ea typeface="+mn-ea"/>
              <a:cs typeface="+mn-cs"/>
            </a:rPr>
            <a:t>         curriculum used by school</a:t>
          </a:r>
          <a:r>
            <a:rPr lang="en-US" sz="1100" baseline="0">
              <a:effectLst/>
              <a:latin typeface="+mn-lt"/>
              <a:ea typeface="+mn-ea"/>
              <a:cs typeface="+mn-cs"/>
            </a:rPr>
            <a:t> - </a:t>
          </a:r>
          <a:r>
            <a:rPr lang="en-US" sz="1100">
              <a:effectLst/>
              <a:latin typeface="+mn-lt"/>
              <a:ea typeface="+mn-ea"/>
              <a:cs typeface="+mn-cs"/>
            </a:rPr>
            <a:t>Plato or Renaissance Learning membership are examples of allowable licenses).</a:t>
          </a:r>
          <a:endParaRPr lang="en-US">
            <a:effectLst/>
          </a:endParaRPr>
        </a:p>
        <a:p>
          <a:pPr>
            <a:lnSpc>
              <a:spcPts val="1100"/>
            </a:lnSpc>
          </a:pPr>
          <a:r>
            <a:rPr lang="en-US" sz="1100">
              <a:effectLst/>
              <a:latin typeface="+mn-lt"/>
              <a:ea typeface="+mn-ea"/>
              <a:cs typeface="+mn-cs"/>
            </a:rPr>
            <a:t> </a:t>
          </a:r>
          <a:r>
            <a:rPr lang="en-US" sz="1100" b="1">
              <a:effectLst/>
              <a:latin typeface="+mn-lt"/>
              <a:ea typeface="+mn-ea"/>
              <a:cs typeface="+mn-cs"/>
            </a:rPr>
            <a:t>H</a:t>
          </a:r>
          <a:r>
            <a:rPr lang="en-US" sz="1100">
              <a:effectLst/>
              <a:latin typeface="+mn-lt"/>
              <a:ea typeface="+mn-ea"/>
              <a:cs typeface="+mn-cs"/>
            </a:rPr>
            <a:t>.    Total Enrollment: Enter the total enrollment of ALL elementary or secondary students, including</a:t>
          </a:r>
        </a:p>
        <a:p>
          <a:pPr>
            <a:lnSpc>
              <a:spcPts val="1200"/>
            </a:lnSpc>
          </a:pPr>
          <a:r>
            <a:rPr lang="en-US" sz="1100">
              <a:effectLst/>
              <a:latin typeface="+mn-lt"/>
              <a:ea typeface="+mn-ea"/>
              <a:cs typeface="+mn-cs"/>
            </a:rPr>
            <a:t>         students with disabilities in the </a:t>
          </a:r>
          <a:r>
            <a:rPr lang="en-US" sz="1100" u="sng">
              <a:effectLst/>
              <a:latin typeface="+mn-lt"/>
              <a:ea typeface="+mn-ea"/>
              <a:cs typeface="+mn-cs"/>
            </a:rPr>
            <a:t>2023-2024 school</a:t>
          </a:r>
          <a:r>
            <a:rPr lang="en-US" sz="1100" u="none">
              <a:effectLst/>
              <a:latin typeface="+mn-lt"/>
              <a:ea typeface="+mn-ea"/>
              <a:cs typeface="+mn-cs"/>
            </a:rPr>
            <a:t> year</a:t>
          </a:r>
          <a:r>
            <a:rPr lang="en-US" sz="1100" u="none" baseline="0">
              <a:effectLst/>
              <a:latin typeface="+mn-lt"/>
              <a:ea typeface="+mn-ea"/>
              <a:cs typeface="+mn-cs"/>
            </a:rPr>
            <a:t> </a:t>
          </a:r>
          <a:r>
            <a:rPr lang="en-US" sz="1100" u="none">
              <a:effectLst/>
              <a:latin typeface="+mn-lt"/>
              <a:ea typeface="+mn-ea"/>
              <a:cs typeface="+mn-cs"/>
            </a:rPr>
            <a:t>(October 2023 SIMS).</a:t>
          </a:r>
          <a:r>
            <a:rPr lang="en-US" sz="1100">
              <a:effectLst/>
              <a:latin typeface="+mn-lt"/>
              <a:ea typeface="+mn-ea"/>
              <a:cs typeface="+mn-cs"/>
            </a:rPr>
            <a:t>	</a:t>
          </a:r>
          <a:endParaRPr lang="en-US">
            <a:effectLst/>
          </a:endParaRPr>
        </a:p>
        <a:p>
          <a:r>
            <a:rPr lang="en-US" sz="1100" b="1">
              <a:effectLst/>
              <a:latin typeface="+mn-lt"/>
              <a:ea typeface="+mn-ea"/>
              <a:cs typeface="+mn-cs"/>
            </a:rPr>
            <a:t> I</a:t>
          </a:r>
          <a:r>
            <a:rPr lang="en-US" sz="1100">
              <a:effectLst/>
              <a:latin typeface="+mn-lt"/>
              <a:ea typeface="+mn-ea"/>
              <a:cs typeface="+mn-cs"/>
            </a:rPr>
            <a:t>.      Students with an IEP: Enter the total number of elementary or secondary students with IEPs in</a:t>
          </a:r>
        </a:p>
        <a:p>
          <a:pPr>
            <a:lnSpc>
              <a:spcPts val="1100"/>
            </a:lnSpc>
          </a:pPr>
          <a:r>
            <a:rPr lang="en-US" sz="1100">
              <a:effectLst/>
              <a:latin typeface="+mn-lt"/>
              <a:ea typeface="+mn-ea"/>
              <a:cs typeface="+mn-cs"/>
            </a:rPr>
            <a:t>         the </a:t>
          </a:r>
          <a:r>
            <a:rPr lang="en-US" sz="1100" u="sng">
              <a:effectLst/>
              <a:latin typeface="+mn-lt"/>
              <a:ea typeface="+mn-ea"/>
              <a:cs typeface="+mn-cs"/>
            </a:rPr>
            <a:t>2024-2025</a:t>
          </a:r>
          <a:r>
            <a:rPr lang="en-US" sz="1100" u="sng" baseline="0">
              <a:effectLst/>
              <a:latin typeface="+mn-lt"/>
              <a:ea typeface="+mn-ea"/>
              <a:cs typeface="+mn-cs"/>
            </a:rPr>
            <a:t> </a:t>
          </a:r>
          <a:r>
            <a:rPr lang="en-US" sz="1100" u="sng">
              <a:effectLst/>
              <a:latin typeface="+mn-lt"/>
              <a:ea typeface="+mn-ea"/>
              <a:cs typeface="+mn-cs"/>
            </a:rPr>
            <a:t>school year.</a:t>
          </a:r>
          <a:endParaRPr lang="en-US">
            <a:effectLst/>
          </a:endParaRPr>
        </a:p>
        <a:p>
          <a:pPr marL="0" marR="0" lvl="0" indent="0" defTabSz="914400" eaLnBrk="1" fontAlgn="auto" latinLnBrk="0" hangingPunct="1">
            <a:lnSpc>
              <a:spcPts val="1100"/>
            </a:lnSpc>
            <a:spcBef>
              <a:spcPts val="0"/>
            </a:spcBef>
            <a:spcAft>
              <a:spcPts val="0"/>
            </a:spcAft>
            <a:buClrTx/>
            <a:buSzTx/>
            <a:buFontTx/>
            <a:buNone/>
            <a:tabLst/>
            <a:defRPr/>
          </a:pPr>
          <a:r>
            <a:rPr lang="en-US" sz="1100" b="1">
              <a:effectLst/>
              <a:latin typeface="+mn-lt"/>
              <a:ea typeface="+mn-ea"/>
              <a:cs typeface="+mn-cs"/>
            </a:rPr>
            <a:t> J.     Minimum aggregate </a:t>
          </a:r>
          <a:r>
            <a:rPr lang="en-US" sz="1100" b="1" baseline="0">
              <a:effectLst/>
              <a:latin typeface="+mn-lt"/>
              <a:ea typeface="+mn-ea"/>
              <a:cs typeface="+mn-cs"/>
            </a:rPr>
            <a:t>educational expenditures for FY25 for students with disabilities: This amount must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effectLst/>
              <a:latin typeface="+mn-lt"/>
              <a:ea typeface="+mn-ea"/>
              <a:cs typeface="+mn-cs"/>
            </a:rPr>
            <a:t>         be spent for the education of students with disabilities before (or concurrently with) IDEA Part B funds </a:t>
          </a:r>
        </a:p>
        <a:p>
          <a:pPr marL="0" marR="0" lvl="0" indent="0" defTabSz="914400" eaLnBrk="1" fontAlgn="auto" latinLnBrk="0" hangingPunct="1">
            <a:lnSpc>
              <a:spcPts val="1100"/>
            </a:lnSpc>
            <a:spcBef>
              <a:spcPts val="0"/>
            </a:spcBef>
            <a:spcAft>
              <a:spcPts val="0"/>
            </a:spcAft>
            <a:buClrTx/>
            <a:buSzTx/>
            <a:buFontTx/>
            <a:buNone/>
            <a:tabLst/>
            <a:defRPr/>
          </a:pPr>
          <a:r>
            <a:rPr lang="en-US" sz="1100" b="1" baseline="0">
              <a:effectLst/>
              <a:latin typeface="+mn-lt"/>
              <a:ea typeface="+mn-ea"/>
              <a:cs typeface="+mn-cs"/>
            </a:rPr>
            <a:t>         during the FY25 school year.</a:t>
          </a:r>
          <a:r>
            <a:rPr lang="en-US" sz="1100" b="0" baseline="0">
              <a:effectLst/>
              <a:latin typeface="+mn-lt"/>
              <a:ea typeface="+mn-ea"/>
              <a:cs typeface="+mn-cs"/>
            </a:rPr>
            <a:t>   Districts should monitor this spending and, i</a:t>
          </a:r>
          <a:r>
            <a:rPr lang="en-US" sz="1100" b="0">
              <a:effectLst/>
              <a:latin typeface="+mn-lt"/>
              <a:ea typeface="+mn-ea"/>
              <a:cs typeface="+mn-cs"/>
            </a:rPr>
            <a:t>f </a:t>
          </a:r>
          <a:r>
            <a:rPr lang="en-US" sz="1100">
              <a:effectLst/>
              <a:latin typeface="+mn-lt"/>
              <a:ea typeface="+mn-ea"/>
              <a:cs typeface="+mn-cs"/>
            </a:rPr>
            <a:t>an LEA determines that it will not</a:t>
          </a:r>
        </a:p>
        <a:p>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or has not met the excess cost requirements at any point, it must notify the Massachusetts Department </a:t>
          </a:r>
        </a:p>
        <a:p>
          <a:pPr marL="0" marR="0" lvl="0" indent="0" defTabSz="914400" eaLnBrk="1" fontAlgn="auto" latinLnBrk="0" hangingPunct="1">
            <a:lnSpc>
              <a:spcPts val="1100"/>
            </a:lnSpc>
            <a:spcBef>
              <a:spcPts val="0"/>
            </a:spcBef>
            <a:spcAft>
              <a:spcPts val="0"/>
            </a:spcAft>
            <a:buClrTx/>
            <a:buSzTx/>
            <a:buFontTx/>
            <a:buNone/>
            <a:tabLst/>
            <a:defRPr/>
          </a:pPr>
          <a:r>
            <a:rPr lang="en-US" sz="1100">
              <a:effectLst/>
              <a:latin typeface="+mn-lt"/>
              <a:ea typeface="+mn-ea"/>
              <a:cs typeface="+mn-cs"/>
            </a:rPr>
            <a:t>         Elementary and Secondary Education (DESE).  Failure to meet minimum spending requirements will be subject</a:t>
          </a:r>
        </a:p>
        <a:p>
          <a:pPr marL="0" marR="0" lvl="0" indent="0" defTabSz="914400" eaLnBrk="1" fontAlgn="auto" latinLnBrk="0" hangingPunct="1">
            <a:lnSpc>
              <a:spcPts val="1100"/>
            </a:lnSpc>
            <a:spcBef>
              <a:spcPts val="0"/>
            </a:spcBef>
            <a:spcAft>
              <a:spcPts val="0"/>
            </a:spcAft>
            <a:buClrTx/>
            <a:buSzTx/>
            <a:buFontTx/>
            <a:buNone/>
            <a:tabLst/>
            <a:defRPr/>
          </a:pPr>
          <a:r>
            <a:rPr lang="en-US" sz="1100">
              <a:effectLst/>
              <a:latin typeface="+mn-lt"/>
              <a:ea typeface="+mn-ea"/>
              <a:cs typeface="+mn-cs"/>
            </a:rPr>
            <a:t>         to repayment of IDEA Part B section 611 and 619 federal funds.</a:t>
          </a:r>
        </a:p>
        <a:p>
          <a:pPr rtl="0" eaLnBrk="1" fontAlgn="auto" latinLnBrk="0" hangingPunct="1">
            <a:lnSpc>
              <a:spcPts val="1000"/>
            </a:lnSpc>
          </a:pPr>
          <a:r>
            <a:rPr lang="en-US" sz="1100" b="1" i="0" baseline="0">
              <a:effectLst/>
              <a:latin typeface="+mn-lt"/>
              <a:ea typeface="+mn-ea"/>
              <a:cs typeface="+mn-cs"/>
            </a:rPr>
            <a:t>	</a:t>
          </a:r>
          <a:endParaRPr lang="en-US" strike="sngStrike">
            <a:effectLst/>
          </a:endParaRPr>
        </a:p>
      </xdr:txBody>
    </xdr:sp>
    <xdr:clientData/>
  </xdr:twoCellAnchor>
  <xdr:twoCellAnchor>
    <xdr:from>
      <xdr:col>23</xdr:col>
      <xdr:colOff>986</xdr:colOff>
      <xdr:row>44</xdr:row>
      <xdr:rowOff>4147</xdr:rowOff>
    </xdr:from>
    <xdr:to>
      <xdr:col>25</xdr:col>
      <xdr:colOff>585</xdr:colOff>
      <xdr:row>52</xdr:row>
      <xdr:rowOff>102138</xdr:rowOff>
    </xdr:to>
    <xdr:sp macro="" textlink="">
      <xdr:nvSpPr>
        <xdr:cNvPr id="3" name="Rectangular Callout 10">
          <a:extLst>
            <a:ext uri="{FF2B5EF4-FFF2-40B4-BE49-F238E27FC236}">
              <a16:creationId xmlns:a16="http://schemas.microsoft.com/office/drawing/2014/main" id="{78D262A4-6507-0F9F-A384-36D12EBEC564}"/>
            </a:ext>
          </a:extLst>
        </xdr:cNvPr>
        <xdr:cNvSpPr/>
      </xdr:nvSpPr>
      <xdr:spPr>
        <a:xfrm>
          <a:off x="23433420" y="14687382"/>
          <a:ext cx="1523599" cy="2003615"/>
        </a:xfrm>
        <a:prstGeom prst="wedgeRectCallout">
          <a:avLst>
            <a:gd name="adj1" fmla="val -87361"/>
            <a:gd name="adj2" fmla="val 6312"/>
          </a:avLst>
        </a:prstGeom>
        <a:solidFill>
          <a:srgbClr val="FBC1F0"/>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600" b="1">
              <a:solidFill>
                <a:sysClr val="windowText" lastClr="000000"/>
              </a:solidFill>
            </a:rPr>
            <a:t>TIP: </a:t>
          </a:r>
          <a:r>
            <a:rPr lang="en-US" sz="1100" b="0">
              <a:solidFill>
                <a:sysClr val="windowText" lastClr="000000"/>
              </a:solidFill>
            </a:rPr>
            <a:t>Grant f</a:t>
          </a:r>
          <a:r>
            <a:rPr lang="en-US" sz="1100" b="0" i="0">
              <a:solidFill>
                <a:sysClr val="windowText" lastClr="000000"/>
              </a:solidFill>
              <a:effectLst/>
              <a:latin typeface="+mn-lt"/>
              <a:ea typeface="+mn-ea"/>
              <a:cs typeface="+mn-cs"/>
            </a:rPr>
            <a:t>unds entered in C</a:t>
          </a:r>
          <a:r>
            <a:rPr lang="en-US" sz="1100" b="0" i="0" baseline="0">
              <a:solidFill>
                <a:sysClr val="windowText" lastClr="000000"/>
              </a:solidFill>
              <a:effectLst/>
              <a:latin typeface="+mn-lt"/>
              <a:ea typeface="+mn-ea"/>
              <a:cs typeface="+mn-cs"/>
            </a:rPr>
            <a:t> </a:t>
          </a:r>
          <a:r>
            <a:rPr lang="en-US" sz="1100" b="0" i="0">
              <a:solidFill>
                <a:sysClr val="windowText" lastClr="000000"/>
              </a:solidFill>
              <a:effectLst/>
              <a:latin typeface="+mn-lt"/>
              <a:ea typeface="+mn-ea"/>
              <a:cs typeface="+mn-cs"/>
            </a:rPr>
            <a:t>through E are those funds that the district </a:t>
          </a:r>
          <a:r>
            <a:rPr lang="en-US" sz="1100" b="1" i="1">
              <a:solidFill>
                <a:sysClr val="windowText" lastClr="000000"/>
              </a:solidFill>
              <a:effectLst/>
              <a:latin typeface="+mn-lt"/>
              <a:ea typeface="+mn-ea"/>
              <a:cs typeface="+mn-cs"/>
            </a:rPr>
            <a:t>actually spent </a:t>
          </a:r>
          <a:r>
            <a:rPr lang="en-US" sz="1100" b="0" i="0">
              <a:solidFill>
                <a:sysClr val="windowText" lastClr="000000"/>
              </a:solidFill>
              <a:effectLst/>
              <a:latin typeface="+mn-lt"/>
              <a:ea typeface="+mn-ea"/>
              <a:cs typeface="+mn-cs"/>
            </a:rPr>
            <a:t>in</a:t>
          </a:r>
          <a:r>
            <a:rPr lang="en-US" sz="1100" b="0" i="0" baseline="0">
              <a:solidFill>
                <a:sysClr val="windowText" lastClr="000000"/>
              </a:solidFill>
              <a:effectLst/>
              <a:latin typeface="+mn-lt"/>
              <a:ea typeface="+mn-ea"/>
              <a:cs typeface="+mn-cs"/>
            </a:rPr>
            <a:t> FY24.  Any fu</a:t>
          </a:r>
          <a:r>
            <a:rPr lang="en-US" sz="1100" b="0" i="0">
              <a:solidFill>
                <a:sysClr val="windowText" lastClr="000000"/>
              </a:solidFill>
              <a:effectLst/>
              <a:latin typeface="+mn-lt"/>
              <a:ea typeface="+mn-ea"/>
              <a:cs typeface="+mn-cs"/>
            </a:rPr>
            <a:t>nds that were received last year and</a:t>
          </a:r>
          <a:r>
            <a:rPr lang="en-US" sz="1100" b="0" i="0" baseline="0">
              <a:solidFill>
                <a:sysClr val="windowText" lastClr="000000"/>
              </a:solidFill>
              <a:effectLst/>
              <a:latin typeface="+mn-lt"/>
              <a:ea typeface="+mn-ea"/>
              <a:cs typeface="+mn-cs"/>
            </a:rPr>
            <a:t> </a:t>
          </a:r>
          <a:r>
            <a:rPr lang="en-US" sz="1100" b="0" i="0">
              <a:solidFill>
                <a:sysClr val="windowText" lastClr="000000"/>
              </a:solidFill>
              <a:effectLst/>
              <a:latin typeface="+mn-lt"/>
              <a:ea typeface="+mn-ea"/>
              <a:cs typeface="+mn-cs"/>
            </a:rPr>
            <a:t>carried over for the current school year (FY25)</a:t>
          </a:r>
          <a:r>
            <a:rPr lang="en-US" sz="1100" b="0" i="0" baseline="0">
              <a:solidFill>
                <a:sysClr val="windowText" lastClr="000000"/>
              </a:solidFill>
              <a:effectLst/>
              <a:latin typeface="+mn-lt"/>
              <a:ea typeface="+mn-ea"/>
              <a:cs typeface="+mn-cs"/>
            </a:rPr>
            <a:t> should not be included.</a:t>
          </a:r>
          <a:endParaRPr lang="en-US">
            <a:solidFill>
              <a:sysClr val="windowText" lastClr="000000"/>
            </a:solidFill>
            <a:effectLst/>
          </a:endParaRPr>
        </a:p>
        <a:p>
          <a:pPr algn="l">
            <a:lnSpc>
              <a:spcPts val="900"/>
            </a:lnSpc>
          </a:pPr>
          <a:r>
            <a:rPr lang="en-US" sz="1100" b="0" baseline="0">
              <a:solidFill>
                <a:srgbClr val="0066FF"/>
              </a:solidFil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doe.mass.edu/finance/accounting/eoy/?fy=2024" TargetMode="Externa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cifr.wested.org/resources/lea-moe/calculator/" TargetMode="External"/><Relationship Id="rId1" Type="http://schemas.openxmlformats.org/officeDocument/2006/relationships/printerSettings" Target="../printerSettings/printerSettings7.bin"/><Relationship Id="rId6" Type="http://schemas.openxmlformats.org/officeDocument/2006/relationships/ctrlProp" Target="../ctrlProps/ctrlProp1.xml"/><Relationship Id="rId5" Type="http://schemas.openxmlformats.org/officeDocument/2006/relationships/vmlDrawing" Target="../drawings/vmlDrawing3.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ctrlProp" Target="../ctrlProps/ctrlProp2.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drawing" Target="../drawings/drawing3.xml"/><Relationship Id="rId7" Type="http://schemas.openxmlformats.org/officeDocument/2006/relationships/ctrlProp" Target="../ctrlProps/ctrlProp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doe.mass.edu/lawsregs/603cmr10.html?section=03" TargetMode="Externa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profiles.doe.mass.edu/statereport/selectedpopulations.aspx" TargetMode="External"/><Relationship Id="rId1" Type="http://schemas.openxmlformats.org/officeDocument/2006/relationships/hyperlink" Target="http://profiles.doe.mass.edu/statereport/enrollmentbygrade.asp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profiles.doe.mass.edu/statereport/enrollmentbygrade.aspx" TargetMode="External"/><Relationship Id="rId13" Type="http://schemas.openxmlformats.org/officeDocument/2006/relationships/comments" Target="../comments5.xml"/><Relationship Id="rId3" Type="http://schemas.openxmlformats.org/officeDocument/2006/relationships/hyperlink" Target="https://www.ecfr.gov/cgi-bin/text-idx?SID=eaee26196a38985490980c8ef6f12b14&amp;mc=true&amp;node=se34.2.300_116&amp;rgn=div8" TargetMode="External"/><Relationship Id="rId7" Type="http://schemas.openxmlformats.org/officeDocument/2006/relationships/hyperlink" Target="http://profiles.doe.mass.edu/statereport/selectedpopulations.aspx" TargetMode="External"/><Relationship Id="rId12" Type="http://schemas.openxmlformats.org/officeDocument/2006/relationships/vmlDrawing" Target="../drawings/vmlDrawing7.vml"/><Relationship Id="rId2" Type="http://schemas.openxmlformats.org/officeDocument/2006/relationships/hyperlink" Target="https://sites.ed.gov/idea/files/Fiscal-Kennedy-Excess-Cost-MOE-Letter.pdf" TargetMode="External"/><Relationship Id="rId1" Type="http://schemas.openxmlformats.org/officeDocument/2006/relationships/hyperlink" Target="https://sites.ed.gov/idea/files/Fiscal-Plagata-Neubauer-Excess-Cost-Letter.pdf" TargetMode="External"/><Relationship Id="rId6" Type="http://schemas.openxmlformats.org/officeDocument/2006/relationships/hyperlink" Target="https://sites.ed.gov/idea/regs/b/appendix-a" TargetMode="External"/><Relationship Id="rId11" Type="http://schemas.openxmlformats.org/officeDocument/2006/relationships/drawing" Target="../drawings/drawing4.xml"/><Relationship Id="rId5" Type="http://schemas.openxmlformats.org/officeDocument/2006/relationships/hyperlink" Target="https://www.ecfr.gov/cgi-bin/text-idx?SID=eaee26196a38985490980c8ef6f12b14&amp;mc=true&amp;node=ap34.2.300_1818.a&amp;rgn=div9" TargetMode="External"/><Relationship Id="rId10" Type="http://schemas.openxmlformats.org/officeDocument/2006/relationships/printerSettings" Target="../printerSettings/printerSettings19.bin"/><Relationship Id="rId4" Type="http://schemas.openxmlformats.org/officeDocument/2006/relationships/hyperlink" Target="https://www.ecfr.gov/cgi-bin/text-idx?SID=eaee26196a38985490980c8ef6f12b14&amp;mc=true&amp;node=se34.2.300_1202&amp;rgn=div8" TargetMode="External"/><Relationship Id="rId9" Type="http://schemas.openxmlformats.org/officeDocument/2006/relationships/hyperlink" Target="http://profiles.doe.mass.edu/statereport/enrollmentbygrade.asp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7"/>
  </sheetPr>
  <dimension ref="A1:N1146"/>
  <sheetViews>
    <sheetView workbookViewId="0">
      <selection activeCell="C19" sqref="C19"/>
    </sheetView>
  </sheetViews>
  <sheetFormatPr defaultColWidth="8.77734375" defaultRowHeight="13.9"/>
  <cols>
    <col min="1" max="1" width="15.21875" style="111" customWidth="1"/>
    <col min="2" max="2" width="8.77734375" style="111"/>
    <col min="3" max="3" width="75.6640625" style="451" customWidth="1"/>
    <col min="4" max="4" width="20.6640625" style="111" customWidth="1"/>
    <col min="5" max="16384" width="8.77734375" style="111"/>
  </cols>
  <sheetData>
    <row r="1" spans="1:4">
      <c r="A1" s="1" t="s">
        <v>0</v>
      </c>
    </row>
    <row r="2" spans="1:4">
      <c r="A2" s="1" t="s">
        <v>1</v>
      </c>
    </row>
    <row r="3" spans="1:4">
      <c r="A3" s="1" t="s">
        <v>2</v>
      </c>
    </row>
    <row r="4" spans="1:4">
      <c r="A4" s="1" t="s">
        <v>3</v>
      </c>
    </row>
    <row r="5" spans="1:4">
      <c r="A5" s="454" t="s">
        <v>4</v>
      </c>
      <c r="B5" s="28"/>
    </row>
    <row r="6" spans="1:4" ht="15.75" customHeight="1">
      <c r="A6" s="249" t="s">
        <v>5</v>
      </c>
      <c r="B6" s="455"/>
      <c r="D6" s="714" t="s">
        <v>6</v>
      </c>
    </row>
    <row r="7" spans="1:4" ht="22.15" customHeight="1">
      <c r="A7" s="453" t="s">
        <v>7</v>
      </c>
      <c r="B7" s="452" t="s">
        <v>8</v>
      </c>
      <c r="C7" s="453" t="s">
        <v>9</v>
      </c>
      <c r="D7" s="715"/>
    </row>
    <row r="814" spans="13:14" ht="15" customHeight="1">
      <c r="M814" s="111">
        <v>17</v>
      </c>
      <c r="N814" s="111">
        <v>18</v>
      </c>
    </row>
    <row r="1063" spans="7:9">
      <c r="G1063" s="111">
        <v>4</v>
      </c>
      <c r="H1063" s="111">
        <v>5</v>
      </c>
      <c r="I1063" s="111">
        <v>6</v>
      </c>
    </row>
    <row r="1106" spans="7:9">
      <c r="G1106" s="111">
        <v>4</v>
      </c>
      <c r="H1106" s="111">
        <v>5</v>
      </c>
      <c r="I1106" s="111">
        <v>6</v>
      </c>
    </row>
    <row r="1146" spans="7:9">
      <c r="G1146" s="111">
        <v>4</v>
      </c>
      <c r="H1146" s="111">
        <v>5</v>
      </c>
      <c r="I1146" s="111">
        <v>6</v>
      </c>
    </row>
  </sheetData>
  <sheetProtection algorithmName="SHA-512" hashValue="XZ18WwFItpO9s3llSsXL34onn4NNCRWiOQaITHAORqajpBWrZN0eRUywm8XLm1c6VB36tVVVzh5g7bcw7XPCiA==" saltValue="lScO1lQTVvhjpqwpWTCbnw==" spinCount="100000" sheet="1" objects="1" scenarios="1"/>
  <customSheetViews>
    <customSheetView guid="{EBCA391C-5ACD-495F-8ED1-C69B7D739622}">
      <selection activeCell="A6" sqref="A6"/>
      <pageMargins left="0" right="0" top="0" bottom="0" header="0" footer="0"/>
      <pageSetup orientation="portrait" r:id="rId1"/>
      <headerFooter alignWithMargins="0"/>
    </customSheetView>
  </customSheetViews>
  <mergeCells count="1">
    <mergeCell ref="D6:D7"/>
  </mergeCells>
  <phoneticPr fontId="0" type="noConversion"/>
  <dataValidations count="1">
    <dataValidation type="list" allowBlank="1" showInputMessage="1" showErrorMessage="1" sqref="B6" xr:uid="{00000000-0002-0000-0000-000000000000}">
      <formula1>"I'm new,N/A"</formula1>
    </dataValidation>
  </dataValidations>
  <pageMargins left="0.75" right="0.75" top="1" bottom="1" header="0.5" footer="0.5"/>
  <pageSetup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6"/>
    <pageSetUpPr autoPageBreaks="0"/>
  </sheetPr>
  <dimension ref="A1:T1327"/>
  <sheetViews>
    <sheetView showGridLines="0" tabSelected="1" zoomScale="96" zoomScaleNormal="96" workbookViewId="0">
      <pane ySplit="8" topLeftCell="A9" activePane="bottomLeft" state="frozen"/>
      <selection pane="bottomLeft" activeCell="J736" sqref="J736"/>
      <selection activeCell="B1" sqref="B1"/>
    </sheetView>
  </sheetViews>
  <sheetFormatPr defaultColWidth="15.77734375" defaultRowHeight="15.6"/>
  <cols>
    <col min="1" max="1" width="5.77734375" style="85" customWidth="1"/>
    <col min="2" max="2" width="2.44140625" style="85" customWidth="1"/>
    <col min="3" max="3" width="6.77734375" style="85" customWidth="1"/>
    <col min="4" max="4" width="53" style="85" customWidth="1"/>
    <col min="5" max="14" width="10.21875" style="85" customWidth="1"/>
    <col min="15" max="15" width="12.6640625" style="85" customWidth="1"/>
    <col min="16" max="17" width="10.21875" style="85" customWidth="1"/>
    <col min="18" max="25" width="8.77734375" style="85" customWidth="1"/>
    <col min="26" max="33" width="15.77734375" style="85" customWidth="1"/>
    <col min="34" max="16384" width="15.77734375" style="85"/>
  </cols>
  <sheetData>
    <row r="1" spans="1:15" ht="20.25" hidden="1" customHeight="1">
      <c r="A1" s="4"/>
      <c r="C1" s="4" t="s">
        <v>10</v>
      </c>
      <c r="E1" s="4"/>
      <c r="F1" s="4"/>
      <c r="G1" s="4"/>
      <c r="H1" s="4"/>
      <c r="I1" s="4"/>
      <c r="J1" s="4"/>
      <c r="K1" s="4"/>
      <c r="L1" s="4"/>
      <c r="M1" s="4"/>
      <c r="N1" s="4"/>
      <c r="O1" s="4"/>
    </row>
    <row r="2" spans="1:15" ht="20.25" hidden="1" customHeight="1">
      <c r="A2" s="4"/>
      <c r="C2" s="4" t="s">
        <v>11</v>
      </c>
      <c r="E2" s="4"/>
      <c r="F2" s="4"/>
      <c r="G2" s="4"/>
      <c r="H2" s="4"/>
      <c r="I2" s="4"/>
      <c r="J2" s="4"/>
      <c r="K2" s="4"/>
      <c r="L2" s="4"/>
      <c r="M2" s="4"/>
      <c r="N2" s="4"/>
      <c r="O2" s="4"/>
    </row>
    <row r="3" spans="1:15" ht="20.25" hidden="1" customHeight="1">
      <c r="A3" s="4"/>
      <c r="C3"/>
      <c r="E3" s="4"/>
      <c r="F3" s="4"/>
      <c r="G3" s="4"/>
      <c r="H3" s="4"/>
      <c r="I3" s="4"/>
      <c r="J3" s="4"/>
      <c r="K3" s="4"/>
      <c r="L3" s="4"/>
      <c r="M3" s="4"/>
      <c r="N3" s="4"/>
      <c r="O3" s="4"/>
    </row>
    <row r="4" spans="1:15" ht="24.75" hidden="1" customHeight="1">
      <c r="A4" s="719" t="s">
        <v>12</v>
      </c>
      <c r="B4" s="719"/>
      <c r="C4" s="719"/>
      <c r="D4" s="719"/>
      <c r="E4" s="719"/>
      <c r="F4" s="719"/>
      <c r="G4" s="719"/>
      <c r="H4" s="719"/>
      <c r="I4" s="719"/>
      <c r="J4" s="719"/>
      <c r="K4" s="719"/>
      <c r="L4" s="273"/>
      <c r="M4" s="273"/>
      <c r="N4" s="273"/>
      <c r="O4" s="274"/>
    </row>
    <row r="5" spans="1:15" ht="30" hidden="1" customHeight="1">
      <c r="A5" s="719" t="s">
        <v>13</v>
      </c>
      <c r="B5" s="719"/>
      <c r="C5" s="719"/>
      <c r="D5" s="719"/>
      <c r="E5" s="719"/>
      <c r="F5" s="719"/>
      <c r="G5" s="719"/>
      <c r="H5" s="719"/>
      <c r="I5" s="719"/>
      <c r="J5" s="719"/>
      <c r="K5" s="719"/>
      <c r="L5" s="275"/>
      <c r="M5" s="273"/>
      <c r="N5" s="273"/>
      <c r="O5" s="274"/>
    </row>
    <row r="6" spans="1:15" ht="20.25" hidden="1" customHeight="1">
      <c r="A6" s="4"/>
      <c r="E6" s="4"/>
      <c r="F6" s="4"/>
      <c r="G6" s="4"/>
      <c r="H6" s="4"/>
      <c r="I6" s="4"/>
      <c r="J6" s="4"/>
      <c r="K6" s="4"/>
      <c r="L6" s="4"/>
      <c r="M6" s="4"/>
      <c r="N6" s="4"/>
      <c r="O6" s="4"/>
    </row>
    <row r="7" spans="1:15" ht="30" hidden="1" customHeight="1">
      <c r="A7" s="4"/>
      <c r="C7" s="276" t="s">
        <v>14</v>
      </c>
      <c r="D7" s="277" t="s">
        <v>15</v>
      </c>
      <c r="E7" s="278"/>
      <c r="F7" s="278"/>
      <c r="G7" s="219" t="s">
        <v>16</v>
      </c>
      <c r="H7" s="545" t="s">
        <v>17</v>
      </c>
      <c r="I7" s="4"/>
      <c r="J7" s="4"/>
      <c r="K7" s="4"/>
      <c r="L7" s="4"/>
      <c r="M7" s="4"/>
      <c r="N7" s="4"/>
      <c r="O7" s="4"/>
    </row>
    <row r="8" spans="1:15" ht="20.25" customHeight="1">
      <c r="A8" s="4"/>
      <c r="C8" s="4"/>
      <c r="E8" s="4"/>
      <c r="F8" s="4"/>
      <c r="G8" s="4"/>
      <c r="H8" s="4"/>
      <c r="I8" s="4"/>
      <c r="J8" s="279"/>
      <c r="K8" s="279"/>
      <c r="L8" s="4"/>
      <c r="M8" s="4"/>
      <c r="N8" s="4"/>
      <c r="O8" s="4"/>
    </row>
    <row r="9" spans="1:15" ht="20.25" customHeight="1">
      <c r="A9" s="4"/>
      <c r="B9" s="4"/>
      <c r="C9" s="13" t="s">
        <v>18</v>
      </c>
      <c r="D9" s="104"/>
      <c r="E9" s="684" t="s">
        <v>19</v>
      </c>
      <c r="F9" s="684" t="s">
        <v>20</v>
      </c>
      <c r="G9" s="684">
        <v>3</v>
      </c>
      <c r="H9" s="684">
        <v>4</v>
      </c>
      <c r="I9" s="684">
        <v>5</v>
      </c>
      <c r="J9" s="685">
        <v>6</v>
      </c>
      <c r="K9" s="78"/>
      <c r="L9" s="4"/>
      <c r="M9" s="4"/>
      <c r="N9" s="4"/>
    </row>
    <row r="10" spans="1:15" ht="20.25" customHeight="1">
      <c r="A10" s="4"/>
      <c r="B10" s="4"/>
      <c r="C10" s="13" t="s">
        <v>21</v>
      </c>
      <c r="D10" s="13"/>
      <c r="E10" s="686"/>
      <c r="F10" s="686"/>
      <c r="G10" s="684"/>
      <c r="H10" s="660" t="s">
        <v>22</v>
      </c>
      <c r="I10" s="686"/>
      <c r="J10" s="687"/>
      <c r="K10" s="78"/>
      <c r="L10" s="4"/>
      <c r="M10" s="4"/>
      <c r="N10" s="4"/>
    </row>
    <row r="11" spans="1:15" ht="20.25" customHeight="1">
      <c r="A11" s="4"/>
      <c r="B11" s="4"/>
      <c r="D11" s="4"/>
      <c r="E11" s="688"/>
      <c r="F11" s="688"/>
      <c r="G11" s="689" t="s">
        <v>23</v>
      </c>
      <c r="H11" s="659" t="s">
        <v>24</v>
      </c>
      <c r="I11" s="688"/>
      <c r="J11" s="690"/>
      <c r="K11" s="78"/>
      <c r="L11" s="4"/>
      <c r="M11" s="4"/>
      <c r="N11" s="4"/>
    </row>
    <row r="12" spans="1:15" ht="20.25" customHeight="1">
      <c r="A12" s="4"/>
      <c r="B12" s="4"/>
      <c r="D12" s="4"/>
      <c r="E12" s="688" t="s">
        <v>25</v>
      </c>
      <c r="F12" s="688" t="s">
        <v>26</v>
      </c>
      <c r="G12" s="688" t="s">
        <v>27</v>
      </c>
      <c r="H12" s="659" t="s">
        <v>28</v>
      </c>
      <c r="I12" s="688" t="s">
        <v>29</v>
      </c>
      <c r="J12" s="690"/>
      <c r="K12" s="4"/>
      <c r="L12" s="4"/>
      <c r="M12" s="4"/>
      <c r="N12" s="4"/>
    </row>
    <row r="13" spans="1:15" ht="20.25" customHeight="1">
      <c r="A13" s="13"/>
      <c r="B13"/>
      <c r="C13" s="13" t="s">
        <v>30</v>
      </c>
      <c r="E13" s="691" t="s">
        <v>31</v>
      </c>
      <c r="F13" s="691" t="s">
        <v>32</v>
      </c>
      <c r="G13" s="691" t="s">
        <v>33</v>
      </c>
      <c r="H13" s="661" t="s">
        <v>34</v>
      </c>
      <c r="I13" s="691" t="s">
        <v>35</v>
      </c>
      <c r="J13" s="691" t="s">
        <v>36</v>
      </c>
      <c r="K13" s="4"/>
      <c r="L13" s="4"/>
      <c r="M13" s="4"/>
      <c r="N13" s="4"/>
    </row>
    <row r="14" spans="1:15" ht="30" customHeight="1">
      <c r="A14" s="13" t="s">
        <v>37</v>
      </c>
      <c r="B14" s="13"/>
      <c r="C14" s="13" t="s">
        <v>38</v>
      </c>
      <c r="D14" s="13" t="s">
        <v>39</v>
      </c>
      <c r="E14" s="4"/>
      <c r="F14" s="4"/>
      <c r="G14" s="4"/>
      <c r="H14" s="4"/>
      <c r="I14" s="4"/>
      <c r="J14" s="4"/>
      <c r="K14" s="4"/>
      <c r="L14" s="4"/>
      <c r="M14" s="4"/>
      <c r="N14" s="4"/>
    </row>
    <row r="15" spans="1:15" ht="20.25" customHeight="1">
      <c r="A15" s="106">
        <v>15</v>
      </c>
      <c r="B15" s="169"/>
      <c r="C15" s="280">
        <v>10</v>
      </c>
      <c r="D15" s="6" t="s">
        <v>40</v>
      </c>
      <c r="E15" s="11"/>
      <c r="F15" s="11"/>
      <c r="G15" s="11"/>
      <c r="H15" s="11"/>
      <c r="I15" s="7"/>
      <c r="J15" s="59">
        <f>ROUND(I15,0)</f>
        <v>0</v>
      </c>
      <c r="K15" s="78"/>
      <c r="L15" s="4"/>
      <c r="M15" s="4"/>
      <c r="N15" s="4"/>
    </row>
    <row r="16" spans="1:15" ht="20.25" customHeight="1">
      <c r="A16" s="106">
        <v>16</v>
      </c>
      <c r="B16" s="169"/>
      <c r="C16" s="280">
        <v>20</v>
      </c>
      <c r="D16" s="6" t="s">
        <v>41</v>
      </c>
      <c r="E16" s="11"/>
      <c r="F16" s="11"/>
      <c r="G16" s="11"/>
      <c r="H16" s="11"/>
      <c r="I16" s="7"/>
      <c r="J16" s="59">
        <f>ROUND(I16,0)</f>
        <v>0</v>
      </c>
      <c r="K16" s="78"/>
      <c r="L16" s="4"/>
      <c r="M16" s="4"/>
      <c r="N16" s="4"/>
    </row>
    <row r="17" spans="1:15" ht="20.25" customHeight="1">
      <c r="A17" s="106">
        <v>17</v>
      </c>
      <c r="B17" s="169"/>
      <c r="C17" s="280">
        <v>30</v>
      </c>
      <c r="D17" s="6" t="s">
        <v>42</v>
      </c>
      <c r="E17" s="7"/>
      <c r="F17" s="7"/>
      <c r="G17" s="7"/>
      <c r="H17" s="7"/>
      <c r="I17" s="7"/>
      <c r="J17" s="59">
        <f>ROUND(SUM(E17:I17),0)</f>
        <v>0</v>
      </c>
      <c r="K17" s="78"/>
      <c r="L17" s="4"/>
      <c r="M17" s="4"/>
      <c r="N17" s="4"/>
    </row>
    <row r="18" spans="1:15" ht="20.25" customHeight="1">
      <c r="A18" s="106">
        <v>18</v>
      </c>
      <c r="B18" s="169"/>
      <c r="C18" s="280">
        <v>40</v>
      </c>
      <c r="D18" s="6" t="s">
        <v>43</v>
      </c>
      <c r="E18" s="7"/>
      <c r="F18" s="7"/>
      <c r="G18" s="7"/>
      <c r="H18" s="7"/>
      <c r="I18" s="7">
        <v>54487</v>
      </c>
      <c r="J18" s="59">
        <f>ROUND(SUM(E18:I18),0)</f>
        <v>54487</v>
      </c>
      <c r="K18" s="78"/>
      <c r="L18" s="281"/>
      <c r="M18" s="4"/>
      <c r="N18" s="4"/>
    </row>
    <row r="19" spans="1:15" ht="20.25" customHeight="1">
      <c r="A19" s="106">
        <v>19</v>
      </c>
      <c r="B19" s="169"/>
      <c r="C19" s="280">
        <v>50</v>
      </c>
      <c r="D19" s="6" t="s">
        <v>44</v>
      </c>
      <c r="E19" s="7"/>
      <c r="F19" s="7"/>
      <c r="G19" s="7"/>
      <c r="H19" s="7"/>
      <c r="I19" s="7"/>
      <c r="J19" s="59">
        <f>ROUND(SUM(E19:I19),0)</f>
        <v>0</v>
      </c>
      <c r="K19" s="78"/>
      <c r="L19" s="281"/>
      <c r="M19" s="4"/>
      <c r="N19" s="4"/>
    </row>
    <row r="20" spans="1:15" ht="20.25" customHeight="1">
      <c r="A20" s="106">
        <v>20</v>
      </c>
      <c r="B20" s="169"/>
      <c r="C20" s="280">
        <v>60</v>
      </c>
      <c r="D20" s="6" t="s">
        <v>45</v>
      </c>
      <c r="E20" s="11"/>
      <c r="F20" s="11"/>
      <c r="G20" s="11"/>
      <c r="H20" s="11"/>
      <c r="I20" s="7">
        <v>31705</v>
      </c>
      <c r="J20" s="59">
        <f>ROUND(I20,0)</f>
        <v>31705</v>
      </c>
      <c r="K20" s="78"/>
      <c r="L20" s="281"/>
      <c r="M20" s="4"/>
      <c r="N20" s="4"/>
    </row>
    <row r="21" spans="1:15" ht="20.25" customHeight="1">
      <c r="A21" s="106">
        <v>21</v>
      </c>
      <c r="B21" s="169"/>
      <c r="C21" s="282">
        <v>70</v>
      </c>
      <c r="D21" s="283" t="s">
        <v>46</v>
      </c>
      <c r="E21" s="7"/>
      <c r="F21" s="7"/>
      <c r="G21" s="7"/>
      <c r="H21" s="7"/>
      <c r="I21" s="7"/>
      <c r="J21" s="59">
        <f>ROUND(SUM(E21:I21),0)</f>
        <v>0</v>
      </c>
      <c r="K21" s="78"/>
      <c r="L21" s="281"/>
      <c r="M21" s="4"/>
      <c r="N21" s="4"/>
    </row>
    <row r="22" spans="1:15" ht="20.25" customHeight="1">
      <c r="A22" s="106">
        <v>22</v>
      </c>
      <c r="B22" s="169"/>
      <c r="C22" s="280">
        <v>80</v>
      </c>
      <c r="D22" s="6" t="s">
        <v>47</v>
      </c>
      <c r="E22" s="11"/>
      <c r="F22" s="11"/>
      <c r="G22" s="11"/>
      <c r="H22" s="11"/>
      <c r="I22" s="7"/>
      <c r="J22" s="59">
        <f>ROUND(I22,0)</f>
        <v>0</v>
      </c>
      <c r="K22" s="78"/>
      <c r="L22" s="4"/>
      <c r="M22" s="4"/>
      <c r="N22" s="4"/>
    </row>
    <row r="23" spans="1:15" ht="20.25" customHeight="1">
      <c r="A23" s="106">
        <v>23</v>
      </c>
      <c r="B23" s="169"/>
      <c r="C23" s="280">
        <v>90</v>
      </c>
      <c r="D23" s="6" t="s">
        <v>48</v>
      </c>
      <c r="E23" s="11"/>
      <c r="F23" s="11"/>
      <c r="G23" s="11"/>
      <c r="H23" s="11"/>
      <c r="I23" s="7">
        <v>80426.16</v>
      </c>
      <c r="J23" s="59">
        <f>ROUND(I23,0)</f>
        <v>80426</v>
      </c>
      <c r="K23" s="78"/>
      <c r="L23" s="4"/>
      <c r="M23" s="4"/>
      <c r="N23" s="4"/>
    </row>
    <row r="24" spans="1:15" ht="20.25" customHeight="1">
      <c r="A24" s="106">
        <v>24</v>
      </c>
      <c r="B24" s="169"/>
      <c r="C24" s="280">
        <v>100</v>
      </c>
      <c r="D24" s="6" t="s">
        <v>49</v>
      </c>
      <c r="E24" s="7"/>
      <c r="F24" s="7"/>
      <c r="G24" s="7"/>
      <c r="H24" s="7"/>
      <c r="I24" s="7">
        <v>4422</v>
      </c>
      <c r="J24" s="59">
        <f>ROUND(SUM(E24:I24),0)</f>
        <v>4422</v>
      </c>
      <c r="K24" s="78"/>
      <c r="L24" s="4"/>
      <c r="M24" s="4"/>
      <c r="N24" s="4"/>
      <c r="O24" s="524"/>
    </row>
    <row r="25" spans="1:15" ht="20.25" customHeight="1">
      <c r="A25" s="106">
        <v>25</v>
      </c>
      <c r="B25" s="169"/>
      <c r="C25" s="282">
        <v>101</v>
      </c>
      <c r="D25" s="283" t="s">
        <v>50</v>
      </c>
      <c r="E25" s="11"/>
      <c r="F25" s="7"/>
      <c r="G25" s="11"/>
      <c r="H25" s="11"/>
      <c r="I25" s="11"/>
      <c r="J25" s="59">
        <f>ROUND(F25,0)</f>
        <v>0</v>
      </c>
      <c r="K25" s="78"/>
      <c r="L25" s="4"/>
      <c r="M25" s="4"/>
      <c r="N25" s="4"/>
    </row>
    <row r="26" spans="1:15" ht="20.25" customHeight="1">
      <c r="A26" s="106">
        <v>26</v>
      </c>
      <c r="B26" s="169"/>
      <c r="C26" s="282">
        <v>105</v>
      </c>
      <c r="D26" s="283" t="s">
        <v>51</v>
      </c>
      <c r="E26" s="11"/>
      <c r="F26" s="11"/>
      <c r="G26" s="11"/>
      <c r="H26" s="11"/>
      <c r="I26" s="7"/>
      <c r="J26" s="59">
        <f>ROUND(I26,0)</f>
        <v>0</v>
      </c>
      <c r="K26" s="78"/>
      <c r="L26" s="4"/>
      <c r="M26" s="4"/>
      <c r="N26" s="4"/>
      <c r="O26" s="127"/>
    </row>
    <row r="27" spans="1:15" ht="20.25" customHeight="1">
      <c r="A27" s="106">
        <v>27</v>
      </c>
      <c r="B27" s="169"/>
      <c r="C27" s="280">
        <v>110</v>
      </c>
      <c r="D27" s="284" t="s">
        <v>52</v>
      </c>
      <c r="E27" s="285">
        <f>ROUND(SUM(E17:E19)+E21+E24,0)</f>
        <v>0</v>
      </c>
      <c r="F27" s="6">
        <f>ROUND(SUM(F17:F19)+F21+F24+F25,0)</f>
        <v>0</v>
      </c>
      <c r="G27" s="6">
        <f>ROUND(SUM(G17:G19)+G21+G24,0)</f>
        <v>0</v>
      </c>
      <c r="H27" s="6">
        <f>ROUND(SUM(H17:H19)+H21+H24,0)</f>
        <v>0</v>
      </c>
      <c r="I27" s="6">
        <f>ROUND(SUM(I15:I24)+I26,0)</f>
        <v>171040</v>
      </c>
      <c r="J27" s="59">
        <f>ROUND(SUM(E27:I27),0)</f>
        <v>171040</v>
      </c>
      <c r="K27" s="78"/>
      <c r="L27" s="4"/>
      <c r="M27" s="4"/>
      <c r="N27" s="4"/>
    </row>
    <row r="28" spans="1:15" ht="23.25" customHeight="1">
      <c r="A28" s="106"/>
      <c r="B28" s="4"/>
      <c r="C28" s="286"/>
      <c r="D28" s="287" t="s">
        <v>53</v>
      </c>
      <c r="E28" s="4" t="s">
        <v>54</v>
      </c>
      <c r="F28" s="5"/>
      <c r="G28" s="5"/>
      <c r="H28" s="5"/>
      <c r="I28" s="288"/>
      <c r="J28" s="5"/>
      <c r="K28" s="4"/>
      <c r="L28" s="4"/>
      <c r="M28" s="4"/>
      <c r="N28" s="4"/>
    </row>
    <row r="29" spans="1:15" ht="20.25" customHeight="1">
      <c r="A29" s="106">
        <v>29</v>
      </c>
      <c r="B29" s="169"/>
      <c r="C29" s="280">
        <v>125</v>
      </c>
      <c r="D29" s="6" t="s">
        <v>55</v>
      </c>
      <c r="E29" s="11"/>
      <c r="F29" s="289"/>
      <c r="G29" s="290"/>
      <c r="H29" s="291"/>
      <c r="I29" s="94">
        <v>8819128</v>
      </c>
      <c r="J29" s="59">
        <f>ROUND(I29,0)</f>
        <v>8819128</v>
      </c>
      <c r="K29" s="78"/>
      <c r="L29" s="4"/>
      <c r="M29" s="4"/>
      <c r="N29" s="4"/>
      <c r="O29" s="523"/>
    </row>
    <row r="30" spans="1:15" ht="20.25" customHeight="1">
      <c r="A30" s="106">
        <v>30</v>
      </c>
      <c r="B30" s="169"/>
      <c r="C30" s="280">
        <v>130</v>
      </c>
      <c r="D30" s="6" t="s">
        <v>56</v>
      </c>
      <c r="E30" s="51" t="s">
        <v>57</v>
      </c>
      <c r="F30" s="93"/>
      <c r="G30" s="292"/>
      <c r="H30" s="51" t="s">
        <v>58</v>
      </c>
      <c r="I30" s="81"/>
      <c r="J30" s="59">
        <f>ROUND(F30+I30,0)</f>
        <v>0</v>
      </c>
      <c r="K30" s="78"/>
      <c r="L30" s="4"/>
      <c r="M30" s="4"/>
      <c r="N30" s="4"/>
      <c r="O30" s="525"/>
    </row>
    <row r="31" spans="1:15" ht="20.25" customHeight="1">
      <c r="A31" s="106">
        <v>31</v>
      </c>
      <c r="B31" s="169"/>
      <c r="C31" s="280">
        <v>140</v>
      </c>
      <c r="D31" s="6" t="s">
        <v>59</v>
      </c>
      <c r="E31" s="11"/>
      <c r="F31" s="289"/>
      <c r="G31" s="292"/>
      <c r="H31" s="291"/>
      <c r="I31" s="95">
        <v>24914.75</v>
      </c>
      <c r="J31" s="59">
        <f>ROUND(I31,0)</f>
        <v>24915</v>
      </c>
      <c r="K31" s="78"/>
      <c r="L31" s="4"/>
      <c r="M31" s="4"/>
      <c r="N31" s="4"/>
    </row>
    <row r="32" spans="1:15" ht="20.25" customHeight="1">
      <c r="A32" s="106">
        <v>32</v>
      </c>
      <c r="B32" s="169"/>
      <c r="C32" s="280">
        <v>170</v>
      </c>
      <c r="D32" s="6" t="s">
        <v>60</v>
      </c>
      <c r="E32" s="51" t="s">
        <v>61</v>
      </c>
      <c r="F32" s="547">
        <v>40755</v>
      </c>
      <c r="G32" s="292"/>
      <c r="H32" s="351" t="s">
        <v>62</v>
      </c>
      <c r="I32" s="478">
        <v>32765</v>
      </c>
      <c r="J32" s="59">
        <f>ROUND(F32+I32,0)</f>
        <v>73520</v>
      </c>
      <c r="K32" s="78"/>
      <c r="L32" s="4"/>
      <c r="M32" s="4"/>
      <c r="N32" s="4"/>
    </row>
    <row r="33" spans="1:15" ht="20.25" customHeight="1">
      <c r="A33" s="106">
        <v>33</v>
      </c>
      <c r="B33" s="169"/>
      <c r="C33" s="280">
        <v>180</v>
      </c>
      <c r="D33" s="6" t="s">
        <v>63</v>
      </c>
      <c r="E33" s="11"/>
      <c r="F33" s="291"/>
      <c r="G33" s="292"/>
      <c r="H33" s="291"/>
      <c r="I33" s="478">
        <v>401966</v>
      </c>
      <c r="J33" s="59">
        <f>ROUND(I33,0)</f>
        <v>401966</v>
      </c>
      <c r="K33" s="78"/>
      <c r="L33" s="4"/>
      <c r="M33" s="4"/>
      <c r="N33" s="4"/>
      <c r="O33" s="526"/>
    </row>
    <row r="34" spans="1:15" ht="20.25" customHeight="1">
      <c r="A34" s="106">
        <v>34</v>
      </c>
      <c r="B34" s="169"/>
      <c r="C34" s="280">
        <v>190</v>
      </c>
      <c r="D34" s="6" t="s">
        <v>64</v>
      </c>
      <c r="E34" s="293"/>
      <c r="F34" s="292"/>
      <c r="G34" s="292"/>
      <c r="H34" s="294"/>
      <c r="I34" s="478">
        <v>0</v>
      </c>
      <c r="J34" s="59">
        <f>ROUND(I34,0)</f>
        <v>0</v>
      </c>
      <c r="K34" s="78"/>
      <c r="L34" s="4"/>
      <c r="M34" s="4"/>
      <c r="N34" s="4"/>
    </row>
    <row r="35" spans="1:15" ht="20.25" customHeight="1">
      <c r="A35" s="106">
        <v>35</v>
      </c>
      <c r="B35" s="169"/>
      <c r="C35" s="295">
        <v>200</v>
      </c>
      <c r="D35" s="296" t="s">
        <v>65</v>
      </c>
      <c r="E35" s="297"/>
      <c r="F35" s="298"/>
      <c r="G35" s="298"/>
      <c r="H35" s="298"/>
      <c r="I35" s="299"/>
      <c r="J35" s="59">
        <f>ROUND(SUM(J29:J34),0)</f>
        <v>9319529</v>
      </c>
      <c r="K35" s="78"/>
      <c r="L35" s="4"/>
      <c r="M35" s="4"/>
      <c r="N35" s="4"/>
    </row>
    <row r="36" spans="1:15" ht="5.25" customHeight="1">
      <c r="A36" s="106"/>
      <c r="B36" s="4"/>
      <c r="C36" s="4"/>
      <c r="D36" s="13"/>
      <c r="E36" s="300"/>
      <c r="F36" s="300"/>
      <c r="G36" s="106"/>
      <c r="H36" s="106"/>
      <c r="I36" s="106"/>
      <c r="J36" s="106"/>
      <c r="K36" s="4"/>
      <c r="L36" s="4"/>
      <c r="M36" s="4"/>
      <c r="N36" s="4"/>
    </row>
    <row r="37" spans="1:15" ht="17.649999999999999" customHeight="1">
      <c r="A37" s="106"/>
      <c r="B37" s="301"/>
      <c r="C37" s="302"/>
      <c r="D37" s="13" t="s">
        <v>66</v>
      </c>
      <c r="E37" s="123"/>
      <c r="F37" s="123"/>
      <c r="G37" s="123"/>
      <c r="H37" s="14"/>
      <c r="I37" s="123"/>
      <c r="J37" s="14"/>
      <c r="K37" s="4"/>
      <c r="L37" s="4"/>
      <c r="M37" s="4"/>
      <c r="N37" s="4"/>
      <c r="O37" s="523"/>
    </row>
    <row r="38" spans="1:15" ht="20.25" customHeight="1">
      <c r="A38" s="106">
        <v>38</v>
      </c>
      <c r="B38" s="169"/>
      <c r="C38" s="280">
        <v>300</v>
      </c>
      <c r="D38" s="6" t="s">
        <v>67</v>
      </c>
      <c r="E38" s="95">
        <v>220011</v>
      </c>
      <c r="F38" s="95">
        <v>612390.57999999996</v>
      </c>
      <c r="G38" s="95">
        <v>0</v>
      </c>
      <c r="H38" s="7"/>
      <c r="I38" s="95">
        <v>783650</v>
      </c>
      <c r="J38" s="59">
        <f>ROUND(SUM(E38:I38),0)</f>
        <v>1616052</v>
      </c>
      <c r="K38" s="78"/>
      <c r="L38" s="4"/>
      <c r="M38" s="4"/>
      <c r="N38" s="4"/>
    </row>
    <row r="39" spans="1:15" ht="20.25" customHeight="1">
      <c r="A39" s="106">
        <v>39</v>
      </c>
      <c r="B39" s="169"/>
      <c r="C39" s="280">
        <v>481</v>
      </c>
      <c r="D39" s="6" t="s">
        <v>68</v>
      </c>
      <c r="E39" s="7"/>
      <c r="F39" s="7"/>
      <c r="G39" s="7"/>
      <c r="H39" s="7"/>
      <c r="I39" s="7">
        <v>1878905</v>
      </c>
      <c r="J39" s="59">
        <f>ROUND(SUM(E39:I39),0)</f>
        <v>1878905</v>
      </c>
      <c r="K39" s="78"/>
      <c r="L39" s="4"/>
      <c r="M39" s="4"/>
      <c r="N39" s="4"/>
    </row>
    <row r="40" spans="1:15" ht="20.25" customHeight="1">
      <c r="A40" s="106">
        <v>40</v>
      </c>
      <c r="B40" s="169"/>
      <c r="C40" s="280">
        <v>490</v>
      </c>
      <c r="D40" s="284" t="s">
        <v>69</v>
      </c>
      <c r="E40" s="6">
        <f>ROUND(E38+E39,0)</f>
        <v>220011</v>
      </c>
      <c r="F40" s="6">
        <f>ROUND(F38+F39,0)</f>
        <v>612391</v>
      </c>
      <c r="G40" s="6">
        <f>ROUND(G38+G39,0)</f>
        <v>0</v>
      </c>
      <c r="H40" s="6">
        <f>ROUND(H38+H39,0)</f>
        <v>0</v>
      </c>
      <c r="I40" s="6">
        <f>ROUND(I38+I39,0)</f>
        <v>2662555</v>
      </c>
      <c r="J40" s="59">
        <f>ROUND(SUM(E40:I40),0)</f>
        <v>3494957</v>
      </c>
      <c r="K40" s="78"/>
      <c r="L40" s="4"/>
      <c r="M40" s="4"/>
      <c r="N40" s="4"/>
    </row>
    <row r="41" spans="1:15" ht="24.75" customHeight="1">
      <c r="A41" s="106"/>
      <c r="B41" s="4"/>
      <c r="C41" s="303"/>
      <c r="D41" s="287" t="s">
        <v>70</v>
      </c>
      <c r="E41" s="5"/>
      <c r="F41" s="5"/>
      <c r="G41" s="5"/>
      <c r="H41" s="5"/>
      <c r="I41" s="5"/>
      <c r="J41" s="5"/>
      <c r="K41" s="4"/>
      <c r="L41" s="4"/>
      <c r="M41" s="4"/>
      <c r="N41" s="4"/>
    </row>
    <row r="42" spans="1:15" ht="20.25" customHeight="1">
      <c r="A42" s="106">
        <v>42</v>
      </c>
      <c r="B42" s="169"/>
      <c r="C42" s="304">
        <v>510</v>
      </c>
      <c r="D42" s="6" t="s">
        <v>67</v>
      </c>
      <c r="E42" s="95">
        <v>5200</v>
      </c>
      <c r="F42" s="95">
        <v>0</v>
      </c>
      <c r="G42" s="95">
        <v>0</v>
      </c>
      <c r="H42" s="7"/>
      <c r="I42" s="95">
        <v>25000</v>
      </c>
      <c r="J42" s="59">
        <f>ROUND(SUM(E42:I42),0)</f>
        <v>30200</v>
      </c>
      <c r="K42" s="78"/>
      <c r="L42" s="4"/>
      <c r="M42" s="4"/>
      <c r="N42" s="4"/>
      <c r="O42" s="523"/>
    </row>
    <row r="43" spans="1:15" ht="20.25" customHeight="1">
      <c r="A43" s="106">
        <v>43</v>
      </c>
      <c r="B43" s="169"/>
      <c r="C43" s="304">
        <v>590</v>
      </c>
      <c r="D43" s="6" t="s">
        <v>71</v>
      </c>
      <c r="E43" s="7"/>
      <c r="F43" s="7"/>
      <c r="G43" s="7"/>
      <c r="H43" s="7"/>
      <c r="I43" s="7"/>
      <c r="J43" s="59">
        <f>ROUND(SUM(E43:I43),0)</f>
        <v>0</v>
      </c>
      <c r="K43" s="78"/>
      <c r="L43" s="4"/>
      <c r="M43" s="4"/>
      <c r="N43" s="4"/>
      <c r="O43" s="546"/>
    </row>
    <row r="44" spans="1:15" ht="20.25" customHeight="1">
      <c r="A44" s="106">
        <v>44</v>
      </c>
      <c r="B44" s="169"/>
      <c r="C44" s="304">
        <v>600</v>
      </c>
      <c r="D44" s="284" t="s">
        <v>72</v>
      </c>
      <c r="E44" s="6">
        <f>ROUND(E42+E43,0)</f>
        <v>5200</v>
      </c>
      <c r="F44" s="6">
        <f>ROUND(F42+F43,0)</f>
        <v>0</v>
      </c>
      <c r="G44" s="6">
        <f>ROUND(G42+G43,0)</f>
        <v>0</v>
      </c>
      <c r="H44" s="6">
        <f>ROUND(H42+H43,0)</f>
        <v>0</v>
      </c>
      <c r="I44" s="6">
        <f>ROUND(I42+I43,0)</f>
        <v>25000</v>
      </c>
      <c r="J44" s="59">
        <f>ROUND(SUM(E44:I44),0)</f>
        <v>30200</v>
      </c>
      <c r="K44" s="78"/>
      <c r="L44" s="4"/>
      <c r="M44" s="4"/>
      <c r="N44" s="4"/>
      <c r="O44" s="546"/>
    </row>
    <row r="45" spans="1:15" ht="23.65" customHeight="1">
      <c r="A45" s="106"/>
      <c r="B45" s="4"/>
      <c r="C45" s="303"/>
      <c r="D45" s="287" t="s">
        <v>73</v>
      </c>
      <c r="E45" s="99"/>
      <c r="F45" s="99"/>
      <c r="G45" s="99"/>
      <c r="H45" s="99"/>
      <c r="I45" s="99"/>
      <c r="J45" s="99"/>
      <c r="K45" s="4"/>
      <c r="L45" s="4"/>
      <c r="M45" s="4"/>
      <c r="N45" s="4"/>
      <c r="O45" s="546"/>
    </row>
    <row r="46" spans="1:15" ht="20.25" customHeight="1">
      <c r="A46" s="106">
        <v>46</v>
      </c>
      <c r="B46" s="169"/>
      <c r="C46" s="304">
        <v>610</v>
      </c>
      <c r="D46" s="6" t="s">
        <v>74</v>
      </c>
      <c r="E46" s="11"/>
      <c r="F46" s="11"/>
      <c r="G46" s="11"/>
      <c r="H46" s="11"/>
      <c r="I46" s="7"/>
      <c r="J46" s="59">
        <f>ROUND(I46,0)</f>
        <v>0</v>
      </c>
      <c r="K46" s="78"/>
      <c r="L46" s="4"/>
      <c r="M46" s="4"/>
      <c r="N46" s="4"/>
      <c r="O46" s="546"/>
    </row>
    <row r="47" spans="1:15" ht="20.25" customHeight="1">
      <c r="A47" s="106">
        <v>47</v>
      </c>
      <c r="B47" s="169"/>
      <c r="C47" s="304">
        <v>620</v>
      </c>
      <c r="D47" s="6" t="s">
        <v>75</v>
      </c>
      <c r="E47" s="11"/>
      <c r="F47" s="11"/>
      <c r="G47" s="11"/>
      <c r="H47" s="11"/>
      <c r="I47" s="7"/>
      <c r="J47" s="59">
        <f>ROUND(I47,0)</f>
        <v>0</v>
      </c>
      <c r="K47" s="78"/>
      <c r="L47" s="4"/>
      <c r="M47" s="4"/>
      <c r="N47" s="4"/>
      <c r="O47" s="546"/>
    </row>
    <row r="48" spans="1:15" ht="20.25" customHeight="1">
      <c r="A48" s="106">
        <v>48</v>
      </c>
      <c r="B48" s="169"/>
      <c r="C48" s="304">
        <v>630</v>
      </c>
      <c r="D48" s="6" t="s">
        <v>76</v>
      </c>
      <c r="E48" s="94">
        <v>77700</v>
      </c>
      <c r="F48" s="94">
        <v>17211.478949999997</v>
      </c>
      <c r="G48" s="94">
        <v>0</v>
      </c>
      <c r="H48" s="11"/>
      <c r="I48" s="11"/>
      <c r="J48" s="59">
        <f>ROUND(SUM(E48:G48),0)</f>
        <v>94911</v>
      </c>
      <c r="K48" s="78"/>
      <c r="L48" s="4"/>
      <c r="M48" s="4"/>
      <c r="N48" s="4"/>
      <c r="O48" s="546"/>
    </row>
    <row r="49" spans="1:15" ht="20.25" customHeight="1">
      <c r="A49" s="106">
        <v>49</v>
      </c>
      <c r="B49" s="169"/>
      <c r="C49" s="304">
        <v>640</v>
      </c>
      <c r="D49" s="6" t="s">
        <v>77</v>
      </c>
      <c r="E49" s="7"/>
      <c r="F49" s="7"/>
      <c r="G49" s="7"/>
      <c r="H49" s="7"/>
      <c r="I49" s="7"/>
      <c r="J49" s="59">
        <f>ROUND(SUM(E49:I49),0)</f>
        <v>0</v>
      </c>
      <c r="K49" s="78"/>
      <c r="L49" s="4"/>
      <c r="M49" s="4"/>
      <c r="N49" s="4"/>
      <c r="O49" s="523"/>
    </row>
    <row r="50" spans="1:15" ht="20.25" customHeight="1">
      <c r="A50" s="106">
        <v>50</v>
      </c>
      <c r="B50" s="169"/>
      <c r="C50" s="304">
        <v>650</v>
      </c>
      <c r="D50" s="6" t="s">
        <v>78</v>
      </c>
      <c r="E50" s="11"/>
      <c r="F50" s="11"/>
      <c r="G50" s="11"/>
      <c r="H50" s="7"/>
      <c r="I50" s="7"/>
      <c r="J50" s="59">
        <f>ROUND(SUM(E50:I50),0)</f>
        <v>0</v>
      </c>
      <c r="K50" s="78"/>
      <c r="L50" s="4"/>
      <c r="M50" s="4"/>
      <c r="N50" s="4"/>
      <c r="O50" s="523"/>
    </row>
    <row r="51" spans="1:15" ht="20.25" customHeight="1">
      <c r="A51" s="106">
        <v>51</v>
      </c>
      <c r="B51" s="169"/>
      <c r="C51" s="304">
        <v>660</v>
      </c>
      <c r="D51" s="6" t="s">
        <v>79</v>
      </c>
      <c r="E51" s="95">
        <v>0</v>
      </c>
      <c r="F51" s="95">
        <v>0</v>
      </c>
      <c r="G51" s="95">
        <v>0</v>
      </c>
      <c r="H51" s="7"/>
      <c r="I51" s="95">
        <v>136583</v>
      </c>
      <c r="J51" s="59">
        <f>ROUND(SUM(E51:I51),0)</f>
        <v>136583</v>
      </c>
      <c r="K51" s="78"/>
      <c r="L51" s="4"/>
      <c r="M51" s="4"/>
      <c r="N51" s="4"/>
    </row>
    <row r="52" spans="1:15" ht="20.25" customHeight="1">
      <c r="A52" s="106">
        <v>52</v>
      </c>
      <c r="B52" s="169"/>
      <c r="C52" s="305">
        <v>670</v>
      </c>
      <c r="D52" s="124" t="s">
        <v>80</v>
      </c>
      <c r="E52" s="43">
        <f>ROUND(SUM(E48:E51),0)</f>
        <v>77700</v>
      </c>
      <c r="F52" s="43">
        <f>ROUND(SUM(F48:F51),0)</f>
        <v>17211</v>
      </c>
      <c r="G52" s="43">
        <f>ROUND(SUM(G48:G51),0)</f>
        <v>0</v>
      </c>
      <c r="H52" s="43">
        <f>ROUND(SUM(H49:H51),0)</f>
        <v>0</v>
      </c>
      <c r="I52" s="43">
        <f>ROUND(I46+I47+SUM(I49:I51),0)</f>
        <v>136583</v>
      </c>
      <c r="J52" s="59">
        <f>ROUND(SUM(E52:I52),0)</f>
        <v>231494</v>
      </c>
      <c r="K52" s="78"/>
      <c r="L52" s="4"/>
      <c r="M52" s="4"/>
      <c r="N52" s="4"/>
    </row>
    <row r="53" spans="1:15" ht="20.25" customHeight="1">
      <c r="A53" s="106"/>
      <c r="B53" s="4"/>
      <c r="C53" s="99"/>
      <c r="D53" s="287"/>
      <c r="E53" s="5"/>
      <c r="F53" s="99"/>
      <c r="G53" s="5"/>
      <c r="H53" s="5"/>
      <c r="I53" s="5"/>
      <c r="J53" s="5"/>
      <c r="K53" s="4"/>
      <c r="L53" s="4"/>
      <c r="M53" s="4"/>
      <c r="N53" s="4"/>
    </row>
    <row r="54" spans="1:15" ht="20.25" customHeight="1">
      <c r="A54" s="106"/>
      <c r="B54" s="4"/>
      <c r="C54" s="4"/>
      <c r="D54" s="13"/>
      <c r="E54" s="106"/>
      <c r="F54" s="4"/>
      <c r="G54" s="106"/>
      <c r="H54" s="106"/>
      <c r="I54" s="106"/>
      <c r="J54" s="106"/>
      <c r="K54" s="4"/>
      <c r="L54" s="4"/>
      <c r="M54" s="4"/>
      <c r="N54" s="4"/>
    </row>
    <row r="55" spans="1:15" ht="20.25" customHeight="1">
      <c r="A55" s="106"/>
      <c r="B55" s="4"/>
      <c r="C55" s="13" t="s">
        <v>18</v>
      </c>
      <c r="D55"/>
      <c r="E55" s="684" t="s">
        <v>19</v>
      </c>
      <c r="F55" s="684" t="s">
        <v>20</v>
      </c>
      <c r="G55" s="684">
        <v>3</v>
      </c>
      <c r="H55" s="684">
        <v>4</v>
      </c>
      <c r="I55" s="684">
        <v>5</v>
      </c>
      <c r="J55" s="685">
        <v>6</v>
      </c>
      <c r="K55" s="4"/>
      <c r="L55" s="4"/>
      <c r="M55" s="4"/>
      <c r="N55" s="4"/>
    </row>
    <row r="56" spans="1:15" ht="20.25" customHeight="1">
      <c r="A56" s="106"/>
      <c r="B56" s="4"/>
      <c r="C56" s="13" t="s">
        <v>21</v>
      </c>
      <c r="D56"/>
      <c r="E56" s="686"/>
      <c r="F56" s="686"/>
      <c r="G56" s="684"/>
      <c r="H56" s="660" t="s">
        <v>22</v>
      </c>
      <c r="I56" s="686"/>
      <c r="J56" s="687"/>
      <c r="K56" s="4"/>
      <c r="L56" s="4"/>
      <c r="M56" s="4"/>
      <c r="N56" s="4"/>
    </row>
    <row r="57" spans="1:15" ht="20.25" customHeight="1">
      <c r="A57" s="106"/>
      <c r="B57" s="4"/>
      <c r="C57" s="13"/>
      <c r="D57"/>
      <c r="E57" s="688"/>
      <c r="F57" s="688"/>
      <c r="G57" s="689" t="s">
        <v>23</v>
      </c>
      <c r="H57" s="659" t="s">
        <v>24</v>
      </c>
      <c r="I57" s="688"/>
      <c r="J57" s="690"/>
      <c r="K57" s="4"/>
      <c r="L57" s="4"/>
      <c r="M57" s="4"/>
      <c r="N57" s="4"/>
    </row>
    <row r="58" spans="1:15" ht="20.25" customHeight="1">
      <c r="A58" s="106"/>
      <c r="B58" s="4"/>
      <c r="C58" s="13" t="s">
        <v>81</v>
      </c>
      <c r="E58" s="688" t="s">
        <v>25</v>
      </c>
      <c r="F58" s="688" t="s">
        <v>26</v>
      </c>
      <c r="G58" s="688" t="s">
        <v>27</v>
      </c>
      <c r="H58" s="659" t="s">
        <v>28</v>
      </c>
      <c r="I58" s="688" t="s">
        <v>29</v>
      </c>
      <c r="J58" s="690"/>
      <c r="K58" s="4"/>
      <c r="L58" s="4"/>
      <c r="M58" s="4"/>
      <c r="N58" s="4"/>
    </row>
    <row r="59" spans="1:15" ht="20.25" customHeight="1">
      <c r="A59" s="106"/>
      <c r="B59" s="4"/>
      <c r="C59" s="13" t="s">
        <v>82</v>
      </c>
      <c r="D59" s="13"/>
      <c r="E59" s="691" t="s">
        <v>31</v>
      </c>
      <c r="F59" s="691" t="s">
        <v>32</v>
      </c>
      <c r="G59" s="691" t="s">
        <v>33</v>
      </c>
      <c r="H59" s="661" t="s">
        <v>34</v>
      </c>
      <c r="I59" s="691" t="s">
        <v>35</v>
      </c>
      <c r="J59" s="691" t="s">
        <v>36</v>
      </c>
      <c r="K59" s="4"/>
      <c r="L59" s="4"/>
      <c r="M59" s="4"/>
      <c r="N59" s="4"/>
    </row>
    <row r="60" spans="1:15" ht="22.5" customHeight="1">
      <c r="A60" s="106"/>
      <c r="B60" s="4"/>
      <c r="C60" s="4"/>
      <c r="D60" s="13" t="s">
        <v>83</v>
      </c>
      <c r="E60" s="16"/>
      <c r="F60" s="16"/>
      <c r="G60" s="16"/>
      <c r="H60" s="16"/>
      <c r="I60" s="16"/>
      <c r="J60" s="16"/>
      <c r="K60" s="4"/>
      <c r="L60" s="4"/>
      <c r="M60" s="4"/>
      <c r="N60" s="4"/>
    </row>
    <row r="61" spans="1:15" ht="20.25" customHeight="1">
      <c r="A61" s="106">
        <v>61</v>
      </c>
      <c r="B61" s="169"/>
      <c r="C61" s="306">
        <v>702</v>
      </c>
      <c r="D61" s="59" t="s">
        <v>84</v>
      </c>
      <c r="E61" s="11"/>
      <c r="F61" s="11"/>
      <c r="G61" s="11"/>
      <c r="H61" s="11"/>
      <c r="I61" s="8"/>
      <c r="J61" s="59">
        <f t="shared" ref="J61:J66" si="0">ROUND(I61,0)</f>
        <v>0</v>
      </c>
      <c r="K61" s="4"/>
      <c r="L61" s="4"/>
      <c r="M61" s="4"/>
      <c r="N61" s="4"/>
    </row>
    <row r="62" spans="1:15" ht="20.25" customHeight="1">
      <c r="A62" s="106">
        <v>62</v>
      </c>
      <c r="B62" s="169"/>
      <c r="C62" s="306">
        <v>703</v>
      </c>
      <c r="D62" s="59" t="s">
        <v>85</v>
      </c>
      <c r="E62" s="11"/>
      <c r="F62" s="11"/>
      <c r="G62" s="11"/>
      <c r="H62" s="11"/>
      <c r="I62" s="8"/>
      <c r="J62" s="59">
        <f t="shared" si="0"/>
        <v>0</v>
      </c>
      <c r="K62" s="4"/>
      <c r="L62" s="4"/>
      <c r="M62" s="4"/>
      <c r="N62" s="4"/>
    </row>
    <row r="63" spans="1:15" ht="20.25" customHeight="1">
      <c r="A63" s="106">
        <v>63</v>
      </c>
      <c r="B63" s="169"/>
      <c r="C63" s="306">
        <v>704</v>
      </c>
      <c r="D63" s="59" t="s">
        <v>86</v>
      </c>
      <c r="E63" s="11"/>
      <c r="F63" s="11"/>
      <c r="G63" s="11"/>
      <c r="H63" s="11"/>
      <c r="I63" s="8"/>
      <c r="J63" s="59">
        <f t="shared" si="0"/>
        <v>0</v>
      </c>
      <c r="K63" s="4"/>
      <c r="L63" s="4"/>
      <c r="M63" s="4"/>
      <c r="N63" s="4"/>
    </row>
    <row r="64" spans="1:15" ht="20.25" customHeight="1">
      <c r="A64" s="106">
        <v>64</v>
      </c>
      <c r="B64" s="169"/>
      <c r="C64" s="306">
        <v>705</v>
      </c>
      <c r="D64" s="59" t="s">
        <v>87</v>
      </c>
      <c r="E64" s="11"/>
      <c r="F64" s="11"/>
      <c r="G64" s="11"/>
      <c r="H64" s="11"/>
      <c r="I64" s="8">
        <v>40</v>
      </c>
      <c r="J64" s="59">
        <f t="shared" si="0"/>
        <v>40</v>
      </c>
      <c r="K64" s="4"/>
      <c r="L64" s="4"/>
      <c r="M64" s="4"/>
      <c r="N64" s="4"/>
    </row>
    <row r="65" spans="1:14" ht="20.25" customHeight="1">
      <c r="A65" s="106">
        <v>65</v>
      </c>
      <c r="B65" s="169"/>
      <c r="C65" s="306">
        <v>706</v>
      </c>
      <c r="D65" s="59" t="s">
        <v>88</v>
      </c>
      <c r="E65" s="11"/>
      <c r="F65" s="11"/>
      <c r="G65" s="11"/>
      <c r="H65" s="11"/>
      <c r="I65" s="8">
        <v>2296.19</v>
      </c>
      <c r="J65" s="59">
        <f t="shared" si="0"/>
        <v>2296</v>
      </c>
      <c r="K65" s="4"/>
      <c r="L65" s="4"/>
      <c r="M65" s="4"/>
      <c r="N65" s="4"/>
    </row>
    <row r="66" spans="1:14" ht="20.25" customHeight="1">
      <c r="A66" s="106">
        <v>66</v>
      </c>
      <c r="B66" s="169"/>
      <c r="C66" s="306">
        <v>709</v>
      </c>
      <c r="D66" s="307" t="s">
        <v>89</v>
      </c>
      <c r="E66" s="308"/>
      <c r="F66" s="309"/>
      <c r="G66" s="309"/>
      <c r="H66" s="310"/>
      <c r="I66" s="59">
        <f>ROUND(SUM(I61:I65),0)</f>
        <v>2336</v>
      </c>
      <c r="J66" s="59">
        <f t="shared" si="0"/>
        <v>2336</v>
      </c>
      <c r="K66" s="4"/>
      <c r="L66" s="4"/>
      <c r="M66" s="4"/>
      <c r="N66" s="4"/>
    </row>
    <row r="67" spans="1:14" ht="27.75" customHeight="1">
      <c r="A67" s="106"/>
      <c r="B67" s="4"/>
      <c r="C67" s="311"/>
      <c r="D67" s="13" t="s">
        <v>90</v>
      </c>
      <c r="E67" s="4"/>
      <c r="F67" s="4"/>
      <c r="G67" s="4"/>
      <c r="H67" s="4"/>
      <c r="I67" s="4"/>
      <c r="J67" s="4"/>
      <c r="K67" s="4"/>
      <c r="L67" s="4"/>
      <c r="M67" s="4"/>
      <c r="N67" s="4"/>
    </row>
    <row r="68" spans="1:14" ht="20.25" customHeight="1">
      <c r="A68" s="106">
        <v>68</v>
      </c>
      <c r="B68" s="169"/>
      <c r="C68" s="306">
        <v>721</v>
      </c>
      <c r="D68" s="59" t="s">
        <v>91</v>
      </c>
      <c r="E68" s="11"/>
      <c r="F68" s="11"/>
      <c r="G68" s="11"/>
      <c r="H68" s="11"/>
      <c r="I68" s="8">
        <v>177000</v>
      </c>
      <c r="J68" s="59">
        <f t="shared" ref="J68:J123" si="1">ROUND(I68,0)</f>
        <v>177000</v>
      </c>
      <c r="K68" s="4"/>
      <c r="L68" s="4"/>
      <c r="M68" s="4"/>
      <c r="N68" s="4"/>
    </row>
    <row r="69" spans="1:14" ht="20.25" customHeight="1">
      <c r="A69" s="106">
        <v>69</v>
      </c>
      <c r="B69" s="169"/>
      <c r="C69" s="306">
        <v>722</v>
      </c>
      <c r="D69" s="59" t="s">
        <v>84</v>
      </c>
      <c r="E69" s="11"/>
      <c r="F69" s="11"/>
      <c r="G69" s="11"/>
      <c r="H69" s="11"/>
      <c r="I69" s="8">
        <f>185201.14+764.94</f>
        <v>185966.08000000002</v>
      </c>
      <c r="J69" s="59">
        <f t="shared" si="1"/>
        <v>185966</v>
      </c>
      <c r="K69" s="4"/>
      <c r="L69" s="4"/>
      <c r="M69" s="4"/>
      <c r="N69" s="4"/>
    </row>
    <row r="70" spans="1:14" ht="20.25" customHeight="1">
      <c r="A70" s="106">
        <v>70</v>
      </c>
      <c r="B70" s="169"/>
      <c r="C70" s="306">
        <v>723</v>
      </c>
      <c r="D70" s="59" t="s">
        <v>85</v>
      </c>
      <c r="E70" s="11"/>
      <c r="F70" s="11"/>
      <c r="G70" s="11"/>
      <c r="H70" s="11"/>
      <c r="I70" s="8"/>
      <c r="J70" s="59">
        <f t="shared" si="1"/>
        <v>0</v>
      </c>
      <c r="K70" s="4"/>
      <c r="L70" s="4"/>
      <c r="M70" s="4"/>
      <c r="N70" s="4"/>
    </row>
    <row r="71" spans="1:14" ht="20.25" customHeight="1">
      <c r="A71" s="106">
        <v>71</v>
      </c>
      <c r="B71" s="169"/>
      <c r="C71" s="306">
        <v>724</v>
      </c>
      <c r="D71" s="59" t="s">
        <v>86</v>
      </c>
      <c r="E71" s="11"/>
      <c r="F71" s="11"/>
      <c r="G71" s="11"/>
      <c r="H71" s="11"/>
      <c r="I71" s="8"/>
      <c r="J71" s="59">
        <f t="shared" si="1"/>
        <v>0</v>
      </c>
      <c r="K71" s="4"/>
      <c r="L71" s="4"/>
      <c r="M71" s="4"/>
      <c r="N71" s="4"/>
    </row>
    <row r="72" spans="1:14" ht="20.25" customHeight="1">
      <c r="A72" s="106">
        <v>72</v>
      </c>
      <c r="B72" s="169"/>
      <c r="C72" s="306">
        <v>725</v>
      </c>
      <c r="D72" s="59" t="s">
        <v>87</v>
      </c>
      <c r="E72" s="11"/>
      <c r="F72" s="11"/>
      <c r="G72" s="11"/>
      <c r="H72" s="11"/>
      <c r="I72" s="8">
        <v>463.6</v>
      </c>
      <c r="J72" s="59">
        <f t="shared" si="1"/>
        <v>464</v>
      </c>
      <c r="K72" s="4"/>
      <c r="L72" s="4"/>
      <c r="M72" s="4"/>
      <c r="N72" s="4"/>
    </row>
    <row r="73" spans="1:14" ht="20.25" customHeight="1">
      <c r="A73" s="106">
        <v>73</v>
      </c>
      <c r="B73" s="169"/>
      <c r="C73" s="306">
        <v>726</v>
      </c>
      <c r="D73" s="59" t="s">
        <v>88</v>
      </c>
      <c r="E73" s="11"/>
      <c r="F73" s="11"/>
      <c r="G73" s="11"/>
      <c r="H73" s="11"/>
      <c r="I73" s="8">
        <f>5622.32+11191</f>
        <v>16813.32</v>
      </c>
      <c r="J73" s="59">
        <f t="shared" si="1"/>
        <v>16813</v>
      </c>
      <c r="K73" s="4"/>
      <c r="L73" s="4"/>
      <c r="M73" s="4"/>
      <c r="N73" s="4"/>
    </row>
    <row r="74" spans="1:14" ht="20.25" customHeight="1">
      <c r="A74" s="106">
        <v>74</v>
      </c>
      <c r="B74" s="169"/>
      <c r="C74" s="306">
        <v>729</v>
      </c>
      <c r="D74" s="307" t="s">
        <v>89</v>
      </c>
      <c r="E74" s="308"/>
      <c r="F74" s="309"/>
      <c r="G74" s="309"/>
      <c r="H74" s="310"/>
      <c r="I74" s="59">
        <f>ROUND(SUM(I68:I73),0)</f>
        <v>380243</v>
      </c>
      <c r="J74" s="59">
        <f t="shared" si="1"/>
        <v>380243</v>
      </c>
      <c r="K74" s="4"/>
      <c r="L74" s="4"/>
      <c r="M74" s="4"/>
      <c r="N74" s="4"/>
    </row>
    <row r="75" spans="1:14" ht="27.75" customHeight="1">
      <c r="A75" s="106"/>
      <c r="B75" s="4"/>
      <c r="C75" s="311"/>
      <c r="D75" s="13" t="s">
        <v>92</v>
      </c>
      <c r="E75" s="4"/>
      <c r="F75" s="4"/>
      <c r="G75" s="4"/>
      <c r="H75" s="4"/>
      <c r="I75" s="4"/>
      <c r="J75" s="4"/>
      <c r="K75" s="4"/>
      <c r="L75" s="4"/>
      <c r="M75" s="4"/>
      <c r="N75" s="4"/>
    </row>
    <row r="76" spans="1:14" ht="20.25" customHeight="1">
      <c r="A76" s="106">
        <v>76</v>
      </c>
      <c r="B76" s="169"/>
      <c r="C76" s="306">
        <v>741</v>
      </c>
      <c r="D76" s="59" t="s">
        <v>91</v>
      </c>
      <c r="E76" s="11"/>
      <c r="F76" s="11"/>
      <c r="G76" s="11"/>
      <c r="H76" s="11"/>
      <c r="I76" s="8"/>
      <c r="J76" s="59">
        <f t="shared" si="1"/>
        <v>0</v>
      </c>
      <c r="K76" s="4"/>
      <c r="L76" s="4"/>
      <c r="M76" s="4"/>
      <c r="N76" s="4"/>
    </row>
    <row r="77" spans="1:14" ht="20.25" customHeight="1">
      <c r="A77" s="106">
        <v>77</v>
      </c>
      <c r="B77" s="169"/>
      <c r="C77" s="306">
        <v>742</v>
      </c>
      <c r="D77" s="59" t="s">
        <v>84</v>
      </c>
      <c r="E77" s="11"/>
      <c r="F77" s="11"/>
      <c r="G77" s="11"/>
      <c r="H77" s="11"/>
      <c r="I77" s="8"/>
      <c r="J77" s="59">
        <f t="shared" si="1"/>
        <v>0</v>
      </c>
      <c r="K77" s="4"/>
      <c r="L77" s="4"/>
      <c r="M77" s="4"/>
      <c r="N77" s="4"/>
    </row>
    <row r="78" spans="1:14" ht="20.25" customHeight="1">
      <c r="A78" s="106">
        <v>78</v>
      </c>
      <c r="B78" s="169"/>
      <c r="C78" s="306">
        <v>743</v>
      </c>
      <c r="D78" s="59" t="s">
        <v>85</v>
      </c>
      <c r="E78" s="11"/>
      <c r="F78" s="11"/>
      <c r="G78" s="11"/>
      <c r="H78" s="11"/>
      <c r="I78" s="8"/>
      <c r="J78" s="59">
        <f t="shared" si="1"/>
        <v>0</v>
      </c>
      <c r="K78" s="4"/>
      <c r="L78" s="4"/>
      <c r="M78" s="4"/>
      <c r="N78" s="4"/>
    </row>
    <row r="79" spans="1:14" ht="20.25" customHeight="1">
      <c r="A79" s="106">
        <v>79</v>
      </c>
      <c r="B79" s="169"/>
      <c r="C79" s="306">
        <v>744</v>
      </c>
      <c r="D79" s="59" t="s">
        <v>86</v>
      </c>
      <c r="E79" s="11"/>
      <c r="F79" s="11"/>
      <c r="G79" s="11"/>
      <c r="H79" s="11"/>
      <c r="I79" s="8"/>
      <c r="J79" s="59">
        <f t="shared" si="1"/>
        <v>0</v>
      </c>
      <c r="K79" s="4"/>
      <c r="L79" s="4"/>
      <c r="M79" s="4"/>
      <c r="N79" s="4"/>
    </row>
    <row r="80" spans="1:14" ht="20.25" customHeight="1">
      <c r="A80" s="106">
        <v>80</v>
      </c>
      <c r="B80" s="169"/>
      <c r="C80" s="306">
        <v>745</v>
      </c>
      <c r="D80" s="59" t="s">
        <v>87</v>
      </c>
      <c r="E80" s="11"/>
      <c r="F80" s="11"/>
      <c r="G80" s="11"/>
      <c r="H80" s="11"/>
      <c r="I80" s="8"/>
      <c r="J80" s="59">
        <f t="shared" si="1"/>
        <v>0</v>
      </c>
      <c r="K80" s="4"/>
      <c r="L80" s="4"/>
      <c r="M80" s="4"/>
      <c r="N80" s="4"/>
    </row>
    <row r="81" spans="1:14" ht="20.25" customHeight="1">
      <c r="A81" s="106">
        <v>81</v>
      </c>
      <c r="B81" s="169"/>
      <c r="C81" s="306">
        <v>746</v>
      </c>
      <c r="D81" s="59" t="s">
        <v>88</v>
      </c>
      <c r="E81" s="11"/>
      <c r="F81" s="11"/>
      <c r="G81" s="11"/>
      <c r="H81" s="11"/>
      <c r="I81" s="8"/>
      <c r="J81" s="59">
        <f t="shared" si="1"/>
        <v>0</v>
      </c>
      <c r="K81" s="4"/>
      <c r="L81" s="4"/>
      <c r="M81" s="4"/>
      <c r="N81" s="4"/>
    </row>
    <row r="82" spans="1:14" ht="20.25" customHeight="1">
      <c r="A82" s="106">
        <v>82</v>
      </c>
      <c r="B82" s="169"/>
      <c r="C82" s="306">
        <v>749</v>
      </c>
      <c r="D82" s="307" t="s">
        <v>89</v>
      </c>
      <c r="E82" s="57"/>
      <c r="F82" s="57"/>
      <c r="G82" s="57"/>
      <c r="H82" s="57"/>
      <c r="I82" s="59">
        <f>ROUND(SUM(I76:I81),0)</f>
        <v>0</v>
      </c>
      <c r="J82" s="59">
        <f t="shared" si="1"/>
        <v>0</v>
      </c>
      <c r="K82" s="4"/>
      <c r="L82" s="4"/>
      <c r="M82" s="4"/>
      <c r="N82" s="4"/>
    </row>
    <row r="83" spans="1:14" ht="27.75" customHeight="1">
      <c r="A83" s="106"/>
      <c r="B83" s="4"/>
      <c r="C83" s="311"/>
      <c r="D83" s="13" t="s">
        <v>93</v>
      </c>
      <c r="E83" s="4"/>
      <c r="F83" s="4"/>
      <c r="G83" s="4"/>
      <c r="H83" s="4"/>
      <c r="I83" s="4"/>
      <c r="J83" s="4"/>
      <c r="K83" s="4"/>
      <c r="L83" s="4"/>
      <c r="M83" s="4"/>
      <c r="N83" s="4"/>
    </row>
    <row r="84" spans="1:14" ht="20.25" customHeight="1">
      <c r="A84" s="106">
        <v>84</v>
      </c>
      <c r="B84" s="169"/>
      <c r="C84" s="306">
        <v>761</v>
      </c>
      <c r="D84" s="59" t="s">
        <v>91</v>
      </c>
      <c r="E84" s="57"/>
      <c r="F84" s="57"/>
      <c r="G84" s="57"/>
      <c r="H84" s="57"/>
      <c r="I84" s="8"/>
      <c r="J84" s="59">
        <f t="shared" si="1"/>
        <v>0</v>
      </c>
      <c r="K84" s="4"/>
      <c r="L84" s="4"/>
      <c r="M84" s="4"/>
      <c r="N84" s="4"/>
    </row>
    <row r="85" spans="1:14" ht="20.25" customHeight="1">
      <c r="A85" s="106">
        <v>85</v>
      </c>
      <c r="B85" s="169"/>
      <c r="C85" s="306">
        <v>762</v>
      </c>
      <c r="D85" s="59" t="s">
        <v>84</v>
      </c>
      <c r="E85" s="57"/>
      <c r="F85" s="57"/>
      <c r="G85" s="57"/>
      <c r="H85" s="57"/>
      <c r="I85" s="8"/>
      <c r="J85" s="59">
        <f t="shared" si="1"/>
        <v>0</v>
      </c>
      <c r="K85" s="4"/>
      <c r="L85" s="4"/>
      <c r="M85" s="4"/>
      <c r="N85" s="4"/>
    </row>
    <row r="86" spans="1:14" ht="20.25" customHeight="1">
      <c r="A86" s="106">
        <v>86</v>
      </c>
      <c r="B86" s="169"/>
      <c r="C86" s="306">
        <v>763</v>
      </c>
      <c r="D86" s="59" t="s">
        <v>85</v>
      </c>
      <c r="E86" s="57"/>
      <c r="F86" s="57"/>
      <c r="G86" s="57"/>
      <c r="H86" s="57"/>
      <c r="I86" s="8">
        <v>46046</v>
      </c>
      <c r="J86" s="59">
        <f t="shared" si="1"/>
        <v>46046</v>
      </c>
      <c r="K86" s="4"/>
      <c r="L86" s="4"/>
      <c r="M86" s="4"/>
      <c r="N86" s="4"/>
    </row>
    <row r="87" spans="1:14" ht="20.25" customHeight="1">
      <c r="A87" s="106">
        <v>87</v>
      </c>
      <c r="B87" s="169"/>
      <c r="C87" s="306">
        <v>764</v>
      </c>
      <c r="D87" s="59" t="s">
        <v>86</v>
      </c>
      <c r="E87" s="57"/>
      <c r="F87" s="57"/>
      <c r="G87" s="57"/>
      <c r="H87" s="57"/>
      <c r="I87" s="8"/>
      <c r="J87" s="59">
        <f t="shared" si="1"/>
        <v>0</v>
      </c>
      <c r="K87" s="4"/>
      <c r="L87" s="4"/>
      <c r="M87" s="4"/>
      <c r="N87" s="4"/>
    </row>
    <row r="88" spans="1:14" ht="20.25" customHeight="1">
      <c r="A88" s="106">
        <v>88</v>
      </c>
      <c r="B88" s="169"/>
      <c r="C88" s="306">
        <v>765</v>
      </c>
      <c r="D88" s="59" t="s">
        <v>87</v>
      </c>
      <c r="E88" s="57"/>
      <c r="F88" s="57"/>
      <c r="G88" s="57"/>
      <c r="H88" s="57"/>
      <c r="I88" s="8"/>
      <c r="J88" s="59">
        <f t="shared" si="1"/>
        <v>0</v>
      </c>
      <c r="K88" s="4"/>
      <c r="L88" s="4"/>
      <c r="M88" s="4"/>
      <c r="N88" s="4"/>
    </row>
    <row r="89" spans="1:14" ht="20.25" customHeight="1">
      <c r="A89" s="106">
        <v>89</v>
      </c>
      <c r="B89" s="169"/>
      <c r="C89" s="306">
        <v>766</v>
      </c>
      <c r="D89" s="59" t="s">
        <v>88</v>
      </c>
      <c r="E89" s="57"/>
      <c r="F89" s="57"/>
      <c r="G89" s="57"/>
      <c r="H89" s="57"/>
      <c r="I89" s="8"/>
      <c r="J89" s="59">
        <f t="shared" si="1"/>
        <v>0</v>
      </c>
      <c r="K89" s="4"/>
      <c r="L89" s="4"/>
      <c r="M89" s="4"/>
      <c r="N89" s="4"/>
    </row>
    <row r="90" spans="1:14" ht="20.25" customHeight="1">
      <c r="A90" s="106">
        <v>90</v>
      </c>
      <c r="B90" s="169"/>
      <c r="C90" s="306">
        <v>769</v>
      </c>
      <c r="D90" s="307" t="s">
        <v>89</v>
      </c>
      <c r="E90" s="57"/>
      <c r="F90" s="57"/>
      <c r="G90" s="57"/>
      <c r="H90" s="57"/>
      <c r="I90" s="59">
        <f>ROUND(SUM(I84:I89),0)</f>
        <v>46046</v>
      </c>
      <c r="J90" s="59">
        <f>ROUND(I90,0)</f>
        <v>46046</v>
      </c>
      <c r="K90" s="4"/>
      <c r="L90" s="4"/>
      <c r="M90" s="4"/>
      <c r="N90" s="4"/>
    </row>
    <row r="91" spans="1:14" ht="31.5" customHeight="1">
      <c r="A91" s="106"/>
      <c r="B91" s="4"/>
      <c r="C91" s="312"/>
      <c r="D91" s="13" t="s">
        <v>94</v>
      </c>
      <c r="E91" s="4"/>
      <c r="F91" s="4"/>
      <c r="G91" s="4"/>
      <c r="H91" s="4"/>
      <c r="I91" s="4"/>
      <c r="J91" s="4"/>
      <c r="K91" s="4"/>
      <c r="L91" s="4"/>
      <c r="M91" s="4"/>
      <c r="N91" s="4"/>
    </row>
    <row r="92" spans="1:14" ht="20.25" customHeight="1">
      <c r="A92" s="106">
        <v>92</v>
      </c>
      <c r="B92" s="169"/>
      <c r="C92" s="306">
        <v>781</v>
      </c>
      <c r="D92" s="59" t="s">
        <v>91</v>
      </c>
      <c r="E92" s="57"/>
      <c r="F92" s="57"/>
      <c r="G92" s="57"/>
      <c r="H92" s="57"/>
      <c r="I92" s="8">
        <f>30976.82</f>
        <v>30976.82</v>
      </c>
      <c r="J92" s="59">
        <f t="shared" si="1"/>
        <v>30977</v>
      </c>
      <c r="K92" s="4"/>
      <c r="L92" s="4"/>
      <c r="M92" s="4"/>
      <c r="N92" s="4"/>
    </row>
    <row r="93" spans="1:14" ht="20.25" customHeight="1">
      <c r="A93" s="106">
        <v>93</v>
      </c>
      <c r="B93" s="169"/>
      <c r="C93" s="306">
        <v>782</v>
      </c>
      <c r="D93" s="59" t="s">
        <v>84</v>
      </c>
      <c r="E93" s="57"/>
      <c r="F93" s="57"/>
      <c r="G93" s="57"/>
      <c r="H93" s="57"/>
      <c r="I93" s="8">
        <f>1561+178990</f>
        <v>180551</v>
      </c>
      <c r="J93" s="59">
        <f t="shared" si="1"/>
        <v>180551</v>
      </c>
      <c r="K93" s="4"/>
      <c r="L93" s="4"/>
      <c r="M93" s="4"/>
      <c r="N93" s="4"/>
    </row>
    <row r="94" spans="1:14" ht="20.25" customHeight="1">
      <c r="A94" s="106">
        <v>94</v>
      </c>
      <c r="B94" s="169"/>
      <c r="C94" s="306">
        <v>783</v>
      </c>
      <c r="D94" s="59" t="s">
        <v>85</v>
      </c>
      <c r="E94" s="57"/>
      <c r="F94" s="57"/>
      <c r="G94" s="57"/>
      <c r="H94" s="57"/>
      <c r="I94" s="8">
        <v>1176.8800000000001</v>
      </c>
      <c r="J94" s="59">
        <f t="shared" si="1"/>
        <v>1177</v>
      </c>
      <c r="K94" s="4"/>
      <c r="L94" s="4"/>
      <c r="M94" s="4"/>
      <c r="N94" s="4"/>
    </row>
    <row r="95" spans="1:14" ht="20.25" customHeight="1">
      <c r="A95" s="106">
        <v>95</v>
      </c>
      <c r="B95" s="169"/>
      <c r="C95" s="306">
        <v>784</v>
      </c>
      <c r="D95" s="59" t="s">
        <v>86</v>
      </c>
      <c r="E95" s="57"/>
      <c r="F95" s="57"/>
      <c r="G95" s="57"/>
      <c r="H95" s="57"/>
      <c r="I95" s="8">
        <v>49375</v>
      </c>
      <c r="J95" s="59">
        <f t="shared" si="1"/>
        <v>49375</v>
      </c>
      <c r="K95" s="4"/>
      <c r="L95" s="4"/>
      <c r="M95" s="4"/>
      <c r="N95" s="4"/>
    </row>
    <row r="96" spans="1:14" ht="20.25" customHeight="1">
      <c r="A96" s="106">
        <v>96</v>
      </c>
      <c r="B96" s="169"/>
      <c r="C96" s="306">
        <v>785</v>
      </c>
      <c r="D96" s="59" t="s">
        <v>87</v>
      </c>
      <c r="E96" s="57"/>
      <c r="F96" s="57"/>
      <c r="G96" s="57"/>
      <c r="H96" s="57"/>
      <c r="I96" s="8">
        <v>1274</v>
      </c>
      <c r="J96" s="59">
        <f t="shared" si="1"/>
        <v>1274</v>
      </c>
      <c r="K96" s="4"/>
      <c r="L96" s="4"/>
      <c r="M96" s="4"/>
      <c r="N96" s="4"/>
    </row>
    <row r="97" spans="1:14" ht="20.25" customHeight="1">
      <c r="A97" s="106">
        <v>97</v>
      </c>
      <c r="B97" s="169"/>
      <c r="C97" s="306">
        <v>786</v>
      </c>
      <c r="D97" s="59" t="s">
        <v>88</v>
      </c>
      <c r="E97" s="57"/>
      <c r="F97" s="57"/>
      <c r="G97" s="57"/>
      <c r="H97" s="57"/>
      <c r="I97" s="8"/>
      <c r="J97" s="59">
        <f t="shared" si="1"/>
        <v>0</v>
      </c>
      <c r="K97" s="4"/>
      <c r="L97" s="4"/>
      <c r="M97" s="4"/>
      <c r="N97" s="4"/>
    </row>
    <row r="98" spans="1:14" ht="20.25" customHeight="1">
      <c r="A98" s="106">
        <v>98</v>
      </c>
      <c r="B98" s="169"/>
      <c r="C98" s="306">
        <v>789</v>
      </c>
      <c r="D98" s="307" t="s">
        <v>89</v>
      </c>
      <c r="E98" s="57"/>
      <c r="F98" s="57"/>
      <c r="G98" s="57"/>
      <c r="H98" s="57"/>
      <c r="I98" s="59">
        <f>ROUND(SUM(I92:I97),0)</f>
        <v>263354</v>
      </c>
      <c r="J98" s="59">
        <f t="shared" si="1"/>
        <v>263354</v>
      </c>
      <c r="K98" s="4"/>
      <c r="L98" s="4"/>
      <c r="M98" s="4"/>
      <c r="N98" s="4"/>
    </row>
    <row r="99" spans="1:14" ht="30" customHeight="1">
      <c r="A99" s="106"/>
      <c r="B99" s="4"/>
      <c r="C99" s="311"/>
      <c r="D99" s="13" t="s">
        <v>95</v>
      </c>
      <c r="E99" s="4"/>
      <c r="F99" s="4"/>
      <c r="G99" s="4"/>
      <c r="H99" s="4"/>
      <c r="I99" s="4"/>
      <c r="J99" s="4"/>
      <c r="K99" s="4"/>
      <c r="L99" s="4"/>
      <c r="M99" s="4"/>
      <c r="N99" s="4"/>
    </row>
    <row r="100" spans="1:14" ht="20.25" customHeight="1">
      <c r="A100" s="106">
        <v>100</v>
      </c>
      <c r="B100" s="169"/>
      <c r="C100" s="306">
        <v>801</v>
      </c>
      <c r="D100" s="59" t="s">
        <v>91</v>
      </c>
      <c r="E100" s="57"/>
      <c r="F100" s="57"/>
      <c r="G100" s="57"/>
      <c r="H100" s="57"/>
      <c r="I100" s="8">
        <v>28976.83</v>
      </c>
      <c r="J100" s="59">
        <f t="shared" si="1"/>
        <v>28977</v>
      </c>
      <c r="K100" s="4"/>
      <c r="L100" s="4"/>
      <c r="M100" s="4"/>
      <c r="N100" s="4"/>
    </row>
    <row r="101" spans="1:14" ht="20.25" customHeight="1">
      <c r="A101" s="106">
        <v>101</v>
      </c>
      <c r="B101" s="169"/>
      <c r="C101" s="306">
        <v>802</v>
      </c>
      <c r="D101" s="59" t="s">
        <v>84</v>
      </c>
      <c r="E101" s="57"/>
      <c r="F101" s="57"/>
      <c r="G101" s="57"/>
      <c r="H101" s="57"/>
      <c r="I101" s="8"/>
      <c r="J101" s="59">
        <f t="shared" si="1"/>
        <v>0</v>
      </c>
      <c r="K101" s="4"/>
      <c r="L101" s="4"/>
      <c r="M101" s="4"/>
      <c r="N101" s="4"/>
    </row>
    <row r="102" spans="1:14" ht="20.25" customHeight="1">
      <c r="A102" s="106">
        <v>102</v>
      </c>
      <c r="B102" s="169"/>
      <c r="C102" s="306">
        <v>803</v>
      </c>
      <c r="D102" s="59" t="s">
        <v>85</v>
      </c>
      <c r="E102" s="57"/>
      <c r="F102" s="57"/>
      <c r="G102" s="57"/>
      <c r="H102" s="57"/>
      <c r="I102" s="8"/>
      <c r="J102" s="59">
        <f t="shared" si="1"/>
        <v>0</v>
      </c>
      <c r="K102" s="4"/>
      <c r="L102" s="4"/>
      <c r="M102" s="4"/>
      <c r="N102" s="4"/>
    </row>
    <row r="103" spans="1:14" ht="20.25" customHeight="1">
      <c r="A103" s="106">
        <v>103</v>
      </c>
      <c r="B103" s="169"/>
      <c r="C103" s="306">
        <v>804</v>
      </c>
      <c r="D103" s="59" t="s">
        <v>86</v>
      </c>
      <c r="E103" s="57"/>
      <c r="F103" s="57"/>
      <c r="G103" s="57"/>
      <c r="H103" s="57"/>
      <c r="I103" s="8"/>
      <c r="J103" s="59">
        <f t="shared" si="1"/>
        <v>0</v>
      </c>
      <c r="K103" s="4"/>
      <c r="L103" s="4"/>
      <c r="M103" s="4"/>
      <c r="N103" s="4"/>
    </row>
    <row r="104" spans="1:14" ht="20.25" customHeight="1">
      <c r="A104" s="106">
        <v>104</v>
      </c>
      <c r="B104" s="169"/>
      <c r="C104" s="306">
        <v>805</v>
      </c>
      <c r="D104" s="59" t="s">
        <v>87</v>
      </c>
      <c r="E104" s="57"/>
      <c r="F104" s="57"/>
      <c r="G104" s="57"/>
      <c r="H104" s="57"/>
      <c r="I104" s="8"/>
      <c r="J104" s="59">
        <f t="shared" si="1"/>
        <v>0</v>
      </c>
      <c r="K104" s="4"/>
      <c r="L104" s="4"/>
      <c r="M104" s="4"/>
      <c r="N104" s="4"/>
    </row>
    <row r="105" spans="1:14" ht="20.25" customHeight="1">
      <c r="A105" s="106">
        <v>105</v>
      </c>
      <c r="B105" s="169"/>
      <c r="C105" s="306">
        <v>806</v>
      </c>
      <c r="D105" s="59" t="s">
        <v>88</v>
      </c>
      <c r="E105" s="57"/>
      <c r="F105" s="57"/>
      <c r="G105" s="57"/>
      <c r="H105" s="57"/>
      <c r="I105" s="8"/>
      <c r="J105" s="59">
        <f t="shared" si="1"/>
        <v>0</v>
      </c>
      <c r="K105" s="4"/>
      <c r="L105" s="4"/>
      <c r="M105" s="4"/>
      <c r="N105" s="4"/>
    </row>
    <row r="106" spans="1:14" ht="20.25" customHeight="1">
      <c r="A106" s="106">
        <v>106</v>
      </c>
      <c r="B106" s="169"/>
      <c r="C106" s="306">
        <v>809</v>
      </c>
      <c r="D106" s="307" t="s">
        <v>89</v>
      </c>
      <c r="E106" s="57"/>
      <c r="F106" s="57"/>
      <c r="G106" s="57"/>
      <c r="H106" s="57"/>
      <c r="I106" s="59">
        <f>ROUND(SUM(I100:I105),0)</f>
        <v>28977</v>
      </c>
      <c r="J106" s="59">
        <f t="shared" si="1"/>
        <v>28977</v>
      </c>
      <c r="K106" s="4"/>
      <c r="L106" s="4"/>
      <c r="M106" s="4"/>
      <c r="N106" s="4"/>
    </row>
    <row r="107" spans="1:14" ht="30" customHeight="1">
      <c r="A107" s="106"/>
      <c r="B107" s="4"/>
      <c r="C107" s="311"/>
      <c r="D107" s="13" t="s">
        <v>96</v>
      </c>
      <c r="E107" s="4"/>
      <c r="F107" s="4"/>
      <c r="G107" s="4"/>
      <c r="H107" s="4"/>
      <c r="I107" s="4"/>
      <c r="J107" s="4"/>
      <c r="K107" s="4"/>
      <c r="L107" s="4"/>
      <c r="M107" s="4"/>
      <c r="N107" s="4"/>
    </row>
    <row r="108" spans="1:14" ht="20.25" customHeight="1">
      <c r="A108" s="106">
        <v>108</v>
      </c>
      <c r="B108" s="169"/>
      <c r="C108" s="306">
        <v>821</v>
      </c>
      <c r="D108" s="59" t="s">
        <v>91</v>
      </c>
      <c r="E108" s="57"/>
      <c r="F108" s="57"/>
      <c r="G108" s="57"/>
      <c r="H108" s="57"/>
      <c r="I108" s="8"/>
      <c r="J108" s="59">
        <f t="shared" si="1"/>
        <v>0</v>
      </c>
      <c r="K108" s="4"/>
      <c r="L108" s="4"/>
      <c r="M108" s="4"/>
      <c r="N108" s="4"/>
    </row>
    <row r="109" spans="1:14" ht="20.25" customHeight="1">
      <c r="A109" s="106">
        <v>109</v>
      </c>
      <c r="B109" s="169"/>
      <c r="C109" s="306">
        <v>822</v>
      </c>
      <c r="D109" s="59" t="s">
        <v>84</v>
      </c>
      <c r="E109" s="57"/>
      <c r="F109" s="57"/>
      <c r="G109" s="57"/>
      <c r="H109" s="57"/>
      <c r="I109" s="8"/>
      <c r="J109" s="59">
        <f t="shared" si="1"/>
        <v>0</v>
      </c>
      <c r="K109" s="4"/>
      <c r="L109" s="4"/>
      <c r="M109" s="4"/>
      <c r="N109" s="4"/>
    </row>
    <row r="110" spans="1:14" ht="20.25" customHeight="1">
      <c r="A110" s="106">
        <v>110</v>
      </c>
      <c r="B110" s="169"/>
      <c r="C110" s="306">
        <v>823</v>
      </c>
      <c r="D110" s="59" t="s">
        <v>85</v>
      </c>
      <c r="E110" s="57"/>
      <c r="F110" s="57"/>
      <c r="G110" s="57"/>
      <c r="H110" s="57"/>
      <c r="I110" s="8"/>
      <c r="J110" s="59">
        <f t="shared" si="1"/>
        <v>0</v>
      </c>
      <c r="K110" s="4"/>
      <c r="L110" s="4"/>
      <c r="M110" s="4"/>
      <c r="N110" s="4"/>
    </row>
    <row r="111" spans="1:14" ht="20.25" customHeight="1">
      <c r="A111" s="106">
        <v>111</v>
      </c>
      <c r="B111" s="169"/>
      <c r="C111" s="306">
        <v>824</v>
      </c>
      <c r="D111" s="59" t="s">
        <v>86</v>
      </c>
      <c r="E111" s="57"/>
      <c r="F111" s="57"/>
      <c r="G111" s="57"/>
      <c r="H111" s="57"/>
      <c r="I111" s="8">
        <v>35992</v>
      </c>
      <c r="J111" s="59">
        <f t="shared" si="1"/>
        <v>35992</v>
      </c>
      <c r="K111" s="4"/>
      <c r="L111" s="4"/>
      <c r="M111" s="4"/>
      <c r="N111" s="4"/>
    </row>
    <row r="112" spans="1:14" ht="20.25" customHeight="1">
      <c r="A112" s="106">
        <v>112</v>
      </c>
      <c r="B112" s="169"/>
      <c r="C112" s="306">
        <v>825</v>
      </c>
      <c r="D112" s="59" t="s">
        <v>87</v>
      </c>
      <c r="E112" s="57"/>
      <c r="F112" s="57"/>
      <c r="G112" s="57"/>
      <c r="H112" s="57"/>
      <c r="I112" s="8"/>
      <c r="J112" s="59">
        <f t="shared" si="1"/>
        <v>0</v>
      </c>
      <c r="K112" s="4"/>
      <c r="L112" s="4"/>
      <c r="M112" s="4"/>
      <c r="N112" s="4"/>
    </row>
    <row r="113" spans="1:14" ht="20.25" customHeight="1">
      <c r="A113" s="106">
        <v>113</v>
      </c>
      <c r="B113" s="169"/>
      <c r="C113" s="306">
        <v>826</v>
      </c>
      <c r="D113" s="59" t="s">
        <v>88</v>
      </c>
      <c r="E113" s="57"/>
      <c r="F113" s="57"/>
      <c r="G113" s="57"/>
      <c r="H113" s="57"/>
      <c r="I113" s="8"/>
      <c r="J113" s="59">
        <f t="shared" si="1"/>
        <v>0</v>
      </c>
      <c r="K113" s="4"/>
      <c r="L113" s="4"/>
      <c r="M113" s="4"/>
      <c r="N113" s="4"/>
    </row>
    <row r="114" spans="1:14" ht="20.25" customHeight="1">
      <c r="A114" s="106">
        <v>114</v>
      </c>
      <c r="B114" s="169"/>
      <c r="C114" s="306">
        <v>829</v>
      </c>
      <c r="D114" s="307" t="s">
        <v>89</v>
      </c>
      <c r="E114" s="57"/>
      <c r="F114" s="57"/>
      <c r="G114" s="57"/>
      <c r="H114" s="57"/>
      <c r="I114" s="59">
        <f>ROUND(SUM(I108:I113),0)</f>
        <v>35992</v>
      </c>
      <c r="J114" s="59">
        <f t="shared" si="1"/>
        <v>35992</v>
      </c>
      <c r="K114" s="4"/>
      <c r="L114" s="4"/>
      <c r="M114" s="4"/>
      <c r="N114" s="4"/>
    </row>
    <row r="115" spans="1:14" ht="30" customHeight="1">
      <c r="A115" s="106"/>
      <c r="B115" s="4"/>
      <c r="C115" s="311"/>
      <c r="D115" s="13" t="s">
        <v>97</v>
      </c>
      <c r="E115" s="4"/>
      <c r="F115" s="4"/>
      <c r="G115" s="4"/>
      <c r="H115" s="4"/>
      <c r="I115" s="4"/>
      <c r="J115" s="4"/>
      <c r="K115" s="4"/>
      <c r="L115" s="4"/>
      <c r="M115" s="4"/>
      <c r="N115" s="4"/>
    </row>
    <row r="116" spans="1:14" ht="20.25" customHeight="1">
      <c r="A116" s="106">
        <v>116</v>
      </c>
      <c r="B116" s="169"/>
      <c r="C116" s="306">
        <v>844</v>
      </c>
      <c r="D116" s="59" t="s">
        <v>86</v>
      </c>
      <c r="E116" s="8"/>
      <c r="F116" s="8"/>
      <c r="G116" s="8"/>
      <c r="H116" s="8"/>
      <c r="I116" s="57"/>
      <c r="J116" s="59">
        <f>ROUND(SUM(E116:H116),0)</f>
        <v>0</v>
      </c>
      <c r="K116" s="4"/>
      <c r="L116" s="4"/>
      <c r="M116" s="4"/>
      <c r="N116" s="4"/>
    </row>
    <row r="117" spans="1:14" ht="20.25" customHeight="1">
      <c r="A117" s="106">
        <v>117</v>
      </c>
      <c r="B117" s="169"/>
      <c r="C117" s="306">
        <v>845</v>
      </c>
      <c r="D117" s="59" t="s">
        <v>87</v>
      </c>
      <c r="E117" s="8"/>
      <c r="F117" s="8"/>
      <c r="G117" s="8"/>
      <c r="H117" s="8"/>
      <c r="I117" s="57"/>
      <c r="J117" s="59">
        <f>ROUND(SUM(E117:H117),0)</f>
        <v>0</v>
      </c>
      <c r="K117" s="4"/>
      <c r="L117" s="4"/>
      <c r="M117" s="4"/>
      <c r="N117" s="4"/>
    </row>
    <row r="118" spans="1:14" ht="20.25" customHeight="1">
      <c r="A118" s="106">
        <v>118</v>
      </c>
      <c r="B118" s="169"/>
      <c r="C118" s="306">
        <v>846</v>
      </c>
      <c r="D118" s="59" t="s">
        <v>88</v>
      </c>
      <c r="E118" s="8"/>
      <c r="F118" s="8"/>
      <c r="G118" s="8"/>
      <c r="H118" s="8"/>
      <c r="I118" s="57"/>
      <c r="J118" s="59">
        <f>ROUND(SUM(E118:H118),0)</f>
        <v>0</v>
      </c>
      <c r="K118" s="4"/>
      <c r="L118" s="4"/>
      <c r="M118" s="4"/>
      <c r="N118" s="4"/>
    </row>
    <row r="119" spans="1:14" ht="20.25" customHeight="1">
      <c r="A119" s="106">
        <v>119</v>
      </c>
      <c r="B119" s="169"/>
      <c r="C119" s="306">
        <v>849</v>
      </c>
      <c r="D119" s="307" t="s">
        <v>89</v>
      </c>
      <c r="E119" s="59">
        <f>ROUND(SUM(E116:E118),0)</f>
        <v>0</v>
      </c>
      <c r="F119" s="59">
        <f>ROUND(SUM(F116:F118),0)</f>
        <v>0</v>
      </c>
      <c r="G119" s="59">
        <f>ROUND(SUM(G116:G118),0)</f>
        <v>0</v>
      </c>
      <c r="H119" s="59">
        <f>ROUND(SUM(H116:H118),0)</f>
        <v>0</v>
      </c>
      <c r="I119" s="57"/>
      <c r="J119" s="59">
        <f>ROUND(SUM(J116:J118),0)</f>
        <v>0</v>
      </c>
      <c r="K119" s="4"/>
      <c r="L119" s="4"/>
      <c r="M119" s="4"/>
      <c r="N119" s="4"/>
    </row>
    <row r="120" spans="1:14" ht="28.5" customHeight="1">
      <c r="A120" s="106"/>
      <c r="B120" s="4"/>
      <c r="C120" s="312"/>
      <c r="D120" s="13" t="s">
        <v>98</v>
      </c>
      <c r="E120" s="4"/>
      <c r="F120" s="4"/>
      <c r="G120" s="4"/>
      <c r="H120" s="4"/>
      <c r="I120" s="4"/>
      <c r="J120" s="4"/>
      <c r="K120" s="4"/>
      <c r="L120" s="4"/>
      <c r="M120" s="4"/>
      <c r="N120" s="4"/>
    </row>
    <row r="121" spans="1:14" ht="20.25" customHeight="1">
      <c r="A121" s="106">
        <v>121</v>
      </c>
      <c r="B121" s="169"/>
      <c r="C121" s="306">
        <v>864</v>
      </c>
      <c r="D121" s="59" t="s">
        <v>86</v>
      </c>
      <c r="E121" s="57"/>
      <c r="F121" s="57"/>
      <c r="G121" s="57"/>
      <c r="H121" s="57"/>
      <c r="I121" s="8">
        <v>174856.87</v>
      </c>
      <c r="J121" s="59">
        <f t="shared" si="1"/>
        <v>174857</v>
      </c>
      <c r="K121" s="4"/>
      <c r="L121" s="4"/>
      <c r="M121" s="4"/>
      <c r="N121" s="4"/>
    </row>
    <row r="122" spans="1:14" ht="20.25" customHeight="1">
      <c r="A122" s="106">
        <v>122</v>
      </c>
      <c r="B122" s="169"/>
      <c r="C122" s="306">
        <v>865</v>
      </c>
      <c r="D122" s="59" t="s">
        <v>87</v>
      </c>
      <c r="E122" s="57"/>
      <c r="F122" s="57"/>
      <c r="G122" s="57"/>
      <c r="H122" s="57"/>
      <c r="I122" s="8">
        <v>60</v>
      </c>
      <c r="J122" s="59">
        <f t="shared" si="1"/>
        <v>60</v>
      </c>
      <c r="K122" s="4"/>
      <c r="L122" s="4"/>
      <c r="M122" s="4"/>
      <c r="N122" s="4"/>
    </row>
    <row r="123" spans="1:14" ht="20.25" customHeight="1">
      <c r="A123" s="106">
        <v>123</v>
      </c>
      <c r="B123" s="169"/>
      <c r="C123" s="306">
        <v>866</v>
      </c>
      <c r="D123" s="59" t="s">
        <v>88</v>
      </c>
      <c r="E123" s="57"/>
      <c r="F123" s="57"/>
      <c r="G123" s="57"/>
      <c r="H123" s="57"/>
      <c r="I123" s="8"/>
      <c r="J123" s="59">
        <f t="shared" si="1"/>
        <v>0</v>
      </c>
      <c r="K123" s="4"/>
      <c r="L123" s="4"/>
      <c r="M123" s="4"/>
      <c r="N123" s="4"/>
    </row>
    <row r="124" spans="1:14" ht="20.25" customHeight="1">
      <c r="A124" s="106">
        <v>124</v>
      </c>
      <c r="B124" s="169"/>
      <c r="C124" s="306">
        <v>869</v>
      </c>
      <c r="D124" s="307" t="s">
        <v>89</v>
      </c>
      <c r="E124" s="57"/>
      <c r="F124" s="57"/>
      <c r="G124" s="57"/>
      <c r="H124" s="57"/>
      <c r="I124" s="59">
        <f>ROUND(SUM(I121:I123),0)</f>
        <v>174917</v>
      </c>
      <c r="J124" s="59">
        <f>ROUND(I124,0)</f>
        <v>174917</v>
      </c>
      <c r="K124" s="4"/>
      <c r="L124" s="4"/>
      <c r="M124" s="4"/>
      <c r="N124" s="4"/>
    </row>
    <row r="125" spans="1:14" ht="27.75" customHeight="1">
      <c r="A125" s="106"/>
      <c r="B125" s="4"/>
      <c r="C125" s="311"/>
      <c r="D125" s="13" t="s">
        <v>99</v>
      </c>
      <c r="E125" s="4"/>
      <c r="F125" s="4"/>
      <c r="G125" s="4"/>
      <c r="H125" s="4"/>
      <c r="I125" s="4"/>
      <c r="J125" s="4"/>
      <c r="K125" s="4"/>
      <c r="L125" s="4"/>
      <c r="M125" s="4"/>
      <c r="N125" s="4"/>
    </row>
    <row r="126" spans="1:14" ht="20.25" customHeight="1">
      <c r="A126" s="106">
        <v>126</v>
      </c>
      <c r="B126" s="169"/>
      <c r="C126" s="306">
        <v>881</v>
      </c>
      <c r="D126" s="59" t="s">
        <v>91</v>
      </c>
      <c r="E126" s="59">
        <f ca="1">E676</f>
        <v>121000</v>
      </c>
      <c r="F126" s="59">
        <f t="shared" ref="F126:H132" ca="1" si="2">F676</f>
        <v>142900</v>
      </c>
      <c r="G126" s="59">
        <f t="shared" ca="1" si="2"/>
        <v>0</v>
      </c>
      <c r="H126" s="59">
        <f t="shared" ca="1" si="2"/>
        <v>0</v>
      </c>
      <c r="I126" s="57"/>
      <c r="J126" s="59">
        <f t="shared" ref="J126:J132" ca="1" si="3">J676</f>
        <v>263900</v>
      </c>
      <c r="K126" s="4"/>
      <c r="L126" s="4"/>
      <c r="M126" s="4"/>
      <c r="N126" s="4"/>
    </row>
    <row r="127" spans="1:14" ht="20.25" customHeight="1">
      <c r="A127" s="106">
        <v>127</v>
      </c>
      <c r="B127" s="169"/>
      <c r="C127" s="306">
        <v>882</v>
      </c>
      <c r="D127" s="59" t="s">
        <v>84</v>
      </c>
      <c r="E127" s="59">
        <f t="shared" ref="E127:E132" ca="1" si="4">E677</f>
        <v>0</v>
      </c>
      <c r="F127" s="59">
        <f t="shared" ca="1" si="2"/>
        <v>57351</v>
      </c>
      <c r="G127" s="59">
        <f t="shared" ca="1" si="2"/>
        <v>0</v>
      </c>
      <c r="H127" s="59">
        <f t="shared" ca="1" si="2"/>
        <v>0</v>
      </c>
      <c r="I127" s="57"/>
      <c r="J127" s="59">
        <f t="shared" ca="1" si="3"/>
        <v>57351</v>
      </c>
      <c r="K127" s="4"/>
      <c r="L127" s="4"/>
      <c r="M127" s="4"/>
      <c r="N127" s="4"/>
    </row>
    <row r="128" spans="1:14" ht="20.25" customHeight="1">
      <c r="A128" s="106">
        <v>128</v>
      </c>
      <c r="B128" s="169"/>
      <c r="C128" s="306">
        <v>883</v>
      </c>
      <c r="D128" s="59" t="s">
        <v>85</v>
      </c>
      <c r="E128" s="59">
        <f t="shared" ca="1" si="4"/>
        <v>0</v>
      </c>
      <c r="F128" s="59">
        <f t="shared" ca="1" si="2"/>
        <v>0</v>
      </c>
      <c r="G128" s="59">
        <f t="shared" ca="1" si="2"/>
        <v>0</v>
      </c>
      <c r="H128" s="59">
        <f t="shared" ca="1" si="2"/>
        <v>0</v>
      </c>
      <c r="I128" s="57"/>
      <c r="J128" s="59">
        <f t="shared" ca="1" si="3"/>
        <v>0</v>
      </c>
      <c r="K128" s="4"/>
      <c r="L128" s="4"/>
      <c r="M128" s="4"/>
      <c r="N128" s="4"/>
    </row>
    <row r="129" spans="1:14" ht="20.25" customHeight="1">
      <c r="A129" s="106">
        <v>129</v>
      </c>
      <c r="B129" s="169"/>
      <c r="C129" s="306">
        <v>884</v>
      </c>
      <c r="D129" s="59" t="s">
        <v>86</v>
      </c>
      <c r="E129" s="59">
        <f t="shared" ca="1" si="4"/>
        <v>0</v>
      </c>
      <c r="F129" s="59">
        <f t="shared" ca="1" si="2"/>
        <v>29483</v>
      </c>
      <c r="G129" s="59">
        <f t="shared" ca="1" si="2"/>
        <v>0</v>
      </c>
      <c r="H129" s="59">
        <f t="shared" ca="1" si="2"/>
        <v>0</v>
      </c>
      <c r="I129" s="57"/>
      <c r="J129" s="59">
        <f t="shared" ca="1" si="3"/>
        <v>29483</v>
      </c>
      <c r="K129" s="4"/>
      <c r="L129" s="4"/>
      <c r="M129" s="4"/>
      <c r="N129" s="4"/>
    </row>
    <row r="130" spans="1:14" ht="20.25" customHeight="1">
      <c r="A130" s="106">
        <v>130</v>
      </c>
      <c r="B130" s="169"/>
      <c r="C130" s="306">
        <v>885</v>
      </c>
      <c r="D130" s="59" t="s">
        <v>87</v>
      </c>
      <c r="E130" s="59">
        <f t="shared" ca="1" si="4"/>
        <v>32287</v>
      </c>
      <c r="F130" s="59">
        <f t="shared" ca="1" si="2"/>
        <v>25612.17</v>
      </c>
      <c r="G130" s="59">
        <f t="shared" ca="1" si="2"/>
        <v>0</v>
      </c>
      <c r="H130" s="59">
        <f t="shared" ca="1" si="2"/>
        <v>0</v>
      </c>
      <c r="I130" s="57"/>
      <c r="J130" s="59">
        <f t="shared" ca="1" si="3"/>
        <v>57899</v>
      </c>
      <c r="K130" s="4"/>
      <c r="L130" s="4"/>
      <c r="M130" s="4"/>
      <c r="N130" s="4"/>
    </row>
    <row r="131" spans="1:14" ht="20.25" customHeight="1">
      <c r="A131" s="106">
        <v>131</v>
      </c>
      <c r="B131" s="169"/>
      <c r="C131" s="306">
        <v>886</v>
      </c>
      <c r="D131" s="59" t="s">
        <v>88</v>
      </c>
      <c r="E131" s="59">
        <f t="shared" ca="1" si="4"/>
        <v>0</v>
      </c>
      <c r="F131" s="59">
        <f t="shared" ca="1" si="2"/>
        <v>0</v>
      </c>
      <c r="G131" s="59">
        <f t="shared" ca="1" si="2"/>
        <v>0</v>
      </c>
      <c r="H131" s="59">
        <f t="shared" ca="1" si="2"/>
        <v>0</v>
      </c>
      <c r="I131" s="57"/>
      <c r="J131" s="59">
        <f t="shared" ca="1" si="3"/>
        <v>0</v>
      </c>
      <c r="K131" s="4"/>
      <c r="L131" s="4"/>
      <c r="M131" s="4"/>
      <c r="N131" s="4"/>
    </row>
    <row r="132" spans="1:14" ht="20.25" customHeight="1">
      <c r="A132" s="106">
        <v>132</v>
      </c>
      <c r="B132" s="169"/>
      <c r="C132" s="306">
        <v>889</v>
      </c>
      <c r="D132" s="307" t="s">
        <v>89</v>
      </c>
      <c r="E132" s="59">
        <f t="shared" ca="1" si="4"/>
        <v>153287</v>
      </c>
      <c r="F132" s="59">
        <f t="shared" ca="1" si="2"/>
        <v>255346</v>
      </c>
      <c r="G132" s="59">
        <f t="shared" ca="1" si="2"/>
        <v>0</v>
      </c>
      <c r="H132" s="59">
        <f t="shared" ca="1" si="2"/>
        <v>0</v>
      </c>
      <c r="I132" s="57"/>
      <c r="J132" s="59">
        <f t="shared" ca="1" si="3"/>
        <v>408633</v>
      </c>
      <c r="K132" s="4"/>
      <c r="L132" s="4"/>
      <c r="M132" s="4"/>
      <c r="N132" s="4"/>
    </row>
    <row r="133" spans="1:14" ht="27.75" customHeight="1">
      <c r="A133" s="106" t="s">
        <v>100</v>
      </c>
      <c r="B133" s="4"/>
      <c r="C133" s="311"/>
      <c r="D133" s="13" t="s">
        <v>101</v>
      </c>
      <c r="E133" s="4"/>
      <c r="F133" s="4"/>
      <c r="G133" s="4"/>
      <c r="H133" s="4"/>
      <c r="I133" s="4"/>
      <c r="J133" s="4"/>
      <c r="K133" s="4"/>
      <c r="L133" s="4"/>
      <c r="M133" s="4"/>
      <c r="N133" s="4"/>
    </row>
    <row r="134" spans="1:14" ht="20.25" customHeight="1">
      <c r="A134" s="106">
        <v>134</v>
      </c>
      <c r="B134" s="169"/>
      <c r="C134" s="306">
        <v>901</v>
      </c>
      <c r="D134" s="59" t="s">
        <v>91</v>
      </c>
      <c r="E134" s="59">
        <f t="shared" ref="E134:H140" ca="1" si="5">E684</f>
        <v>0</v>
      </c>
      <c r="F134" s="59">
        <f t="shared" ca="1" si="5"/>
        <v>0</v>
      </c>
      <c r="G134" s="59">
        <f t="shared" ca="1" si="5"/>
        <v>0</v>
      </c>
      <c r="H134" s="59">
        <f t="shared" ca="1" si="5"/>
        <v>0</v>
      </c>
      <c r="I134" s="57"/>
      <c r="J134" s="59">
        <f t="shared" ref="J134:J140" ca="1" si="6">J684</f>
        <v>0</v>
      </c>
      <c r="K134" s="4"/>
      <c r="L134" s="4"/>
      <c r="M134" s="4"/>
      <c r="N134" s="4"/>
    </row>
    <row r="135" spans="1:14" ht="20.25" customHeight="1">
      <c r="A135" s="106">
        <v>135</v>
      </c>
      <c r="B135" s="169"/>
      <c r="C135" s="306">
        <v>902</v>
      </c>
      <c r="D135" s="59" t="s">
        <v>84</v>
      </c>
      <c r="E135" s="59">
        <f t="shared" ca="1" si="5"/>
        <v>0</v>
      </c>
      <c r="F135" s="59">
        <f t="shared" ca="1" si="5"/>
        <v>0</v>
      </c>
      <c r="G135" s="59">
        <f t="shared" ca="1" si="5"/>
        <v>0</v>
      </c>
      <c r="H135" s="59">
        <f t="shared" ca="1" si="5"/>
        <v>0</v>
      </c>
      <c r="I135" s="57"/>
      <c r="J135" s="59">
        <f t="shared" ca="1" si="6"/>
        <v>0</v>
      </c>
      <c r="K135" s="4"/>
      <c r="L135" s="4"/>
      <c r="M135" s="4"/>
      <c r="N135" s="4"/>
    </row>
    <row r="136" spans="1:14" ht="20.25" customHeight="1">
      <c r="A136" s="106">
        <v>136</v>
      </c>
      <c r="B136" s="169"/>
      <c r="C136" s="306">
        <v>903</v>
      </c>
      <c r="D136" s="59" t="s">
        <v>85</v>
      </c>
      <c r="E136" s="59">
        <f t="shared" ca="1" si="5"/>
        <v>0</v>
      </c>
      <c r="F136" s="59">
        <f t="shared" ca="1" si="5"/>
        <v>0</v>
      </c>
      <c r="G136" s="59">
        <f t="shared" ca="1" si="5"/>
        <v>0</v>
      </c>
      <c r="H136" s="59">
        <f t="shared" ca="1" si="5"/>
        <v>0</v>
      </c>
      <c r="I136" s="57"/>
      <c r="J136" s="59">
        <f t="shared" ca="1" si="6"/>
        <v>0</v>
      </c>
      <c r="K136" s="4"/>
      <c r="L136" s="4"/>
      <c r="M136" s="4"/>
      <c r="N136" s="4"/>
    </row>
    <row r="137" spans="1:14" ht="20.25" customHeight="1">
      <c r="A137" s="106">
        <v>137</v>
      </c>
      <c r="B137" s="169"/>
      <c r="C137" s="306">
        <v>904</v>
      </c>
      <c r="D137" s="59" t="s">
        <v>86</v>
      </c>
      <c r="E137" s="59">
        <f t="shared" ca="1" si="5"/>
        <v>0</v>
      </c>
      <c r="F137" s="59">
        <f t="shared" ca="1" si="5"/>
        <v>0</v>
      </c>
      <c r="G137" s="59">
        <f t="shared" ca="1" si="5"/>
        <v>0</v>
      </c>
      <c r="H137" s="59">
        <f t="shared" ca="1" si="5"/>
        <v>0</v>
      </c>
      <c r="I137" s="57"/>
      <c r="J137" s="59">
        <f t="shared" ca="1" si="6"/>
        <v>0</v>
      </c>
      <c r="K137" s="4"/>
      <c r="L137" s="4"/>
      <c r="M137" s="4"/>
      <c r="N137" s="4"/>
    </row>
    <row r="138" spans="1:14" ht="20.25" customHeight="1">
      <c r="A138" s="106">
        <v>138</v>
      </c>
      <c r="B138" s="169"/>
      <c r="C138" s="306">
        <v>905</v>
      </c>
      <c r="D138" s="59" t="s">
        <v>87</v>
      </c>
      <c r="E138" s="59">
        <f t="shared" ca="1" si="5"/>
        <v>0</v>
      </c>
      <c r="F138" s="59">
        <f t="shared" ca="1" si="5"/>
        <v>0</v>
      </c>
      <c r="G138" s="59">
        <f t="shared" ca="1" si="5"/>
        <v>0</v>
      </c>
      <c r="H138" s="59">
        <f t="shared" ca="1" si="5"/>
        <v>0</v>
      </c>
      <c r="I138" s="57"/>
      <c r="J138" s="59">
        <f t="shared" ca="1" si="6"/>
        <v>0</v>
      </c>
      <c r="K138" s="4"/>
      <c r="L138" s="4"/>
      <c r="M138" s="4"/>
      <c r="N138" s="4"/>
    </row>
    <row r="139" spans="1:14" ht="20.25" customHeight="1">
      <c r="A139" s="106">
        <v>139</v>
      </c>
      <c r="B139" s="169"/>
      <c r="C139" s="306">
        <v>906</v>
      </c>
      <c r="D139" s="59" t="s">
        <v>88</v>
      </c>
      <c r="E139" s="59">
        <f t="shared" ca="1" si="5"/>
        <v>0</v>
      </c>
      <c r="F139" s="59">
        <f t="shared" ca="1" si="5"/>
        <v>0</v>
      </c>
      <c r="G139" s="59">
        <f t="shared" ca="1" si="5"/>
        <v>0</v>
      </c>
      <c r="H139" s="59">
        <f t="shared" ca="1" si="5"/>
        <v>0</v>
      </c>
      <c r="I139" s="57"/>
      <c r="J139" s="59">
        <f t="shared" ca="1" si="6"/>
        <v>0</v>
      </c>
      <c r="K139" s="4"/>
      <c r="L139" s="4"/>
      <c r="M139" s="4"/>
      <c r="N139" s="4"/>
    </row>
    <row r="140" spans="1:14" ht="20.25" customHeight="1">
      <c r="A140" s="106">
        <v>140</v>
      </c>
      <c r="B140" s="169"/>
      <c r="C140" s="306">
        <v>909</v>
      </c>
      <c r="D140" s="307" t="s">
        <v>89</v>
      </c>
      <c r="E140" s="59">
        <f t="shared" ca="1" si="5"/>
        <v>0</v>
      </c>
      <c r="F140" s="59">
        <f t="shared" ca="1" si="5"/>
        <v>0</v>
      </c>
      <c r="G140" s="59">
        <f t="shared" ca="1" si="5"/>
        <v>0</v>
      </c>
      <c r="H140" s="59">
        <f t="shared" ca="1" si="5"/>
        <v>0</v>
      </c>
      <c r="I140" s="57"/>
      <c r="J140" s="59">
        <f t="shared" ca="1" si="6"/>
        <v>0</v>
      </c>
      <c r="K140" s="4"/>
      <c r="L140" s="4"/>
      <c r="M140" s="4"/>
      <c r="N140" s="4"/>
    </row>
    <row r="141" spans="1:14" ht="20.25" customHeight="1">
      <c r="A141" s="106"/>
      <c r="B141" s="4"/>
      <c r="C141" s="311"/>
      <c r="D141" s="13" t="s">
        <v>102</v>
      </c>
      <c r="E141" s="4"/>
      <c r="F141" s="4"/>
      <c r="G141" s="4"/>
      <c r="H141" s="4"/>
      <c r="I141" s="4"/>
      <c r="J141" s="4"/>
      <c r="K141" s="4"/>
      <c r="L141" s="4"/>
      <c r="M141" s="4"/>
      <c r="N141" s="4"/>
    </row>
    <row r="142" spans="1:14" ht="20.25" customHeight="1">
      <c r="A142" s="106">
        <v>142</v>
      </c>
      <c r="B142" s="313"/>
      <c r="C142" s="306">
        <v>911</v>
      </c>
      <c r="D142" s="59" t="s">
        <v>91</v>
      </c>
      <c r="E142" s="59">
        <f ca="1">E692</f>
        <v>0</v>
      </c>
      <c r="F142" s="59">
        <f ca="1">F692</f>
        <v>0</v>
      </c>
      <c r="G142" s="59">
        <f ca="1">G692</f>
        <v>0</v>
      </c>
      <c r="H142" s="59">
        <f ca="1">H692</f>
        <v>0</v>
      </c>
      <c r="I142" s="57"/>
      <c r="J142" s="59">
        <f t="shared" ref="J142:J148" ca="1" si="7">J692</f>
        <v>0</v>
      </c>
      <c r="K142" s="4"/>
      <c r="L142" s="4"/>
      <c r="M142" s="4"/>
      <c r="N142" s="4"/>
    </row>
    <row r="143" spans="1:14" ht="20.25" customHeight="1">
      <c r="A143" s="106">
        <v>143</v>
      </c>
      <c r="B143" s="313"/>
      <c r="C143" s="306">
        <v>912</v>
      </c>
      <c r="D143" s="59" t="s">
        <v>84</v>
      </c>
      <c r="E143" s="59">
        <f t="shared" ref="E143:H148" ca="1" si="8">E693</f>
        <v>0</v>
      </c>
      <c r="F143" s="59">
        <f t="shared" ca="1" si="8"/>
        <v>0</v>
      </c>
      <c r="G143" s="59">
        <f t="shared" ca="1" si="8"/>
        <v>0</v>
      </c>
      <c r="H143" s="59">
        <f t="shared" ca="1" si="8"/>
        <v>0</v>
      </c>
      <c r="I143" s="57"/>
      <c r="J143" s="59">
        <f t="shared" ca="1" si="7"/>
        <v>0</v>
      </c>
      <c r="K143" s="4"/>
      <c r="L143" s="4"/>
      <c r="M143" s="4"/>
      <c r="N143" s="4"/>
    </row>
    <row r="144" spans="1:14" ht="20.25" customHeight="1">
      <c r="A144" s="106">
        <v>144</v>
      </c>
      <c r="B144" s="313"/>
      <c r="C144" s="306">
        <v>913</v>
      </c>
      <c r="D144" s="59" t="s">
        <v>85</v>
      </c>
      <c r="E144" s="59">
        <f t="shared" ca="1" si="8"/>
        <v>0</v>
      </c>
      <c r="F144" s="59">
        <f t="shared" ca="1" si="8"/>
        <v>0</v>
      </c>
      <c r="G144" s="59">
        <f t="shared" ca="1" si="8"/>
        <v>0</v>
      </c>
      <c r="H144" s="59">
        <f t="shared" ca="1" si="8"/>
        <v>0</v>
      </c>
      <c r="I144" s="57"/>
      <c r="J144" s="59">
        <f t="shared" ca="1" si="7"/>
        <v>0</v>
      </c>
      <c r="K144" s="4" t="s">
        <v>100</v>
      </c>
      <c r="L144" s="4"/>
      <c r="M144" s="4"/>
      <c r="N144" s="4"/>
    </row>
    <row r="145" spans="1:14" ht="20.25" customHeight="1">
      <c r="A145" s="106">
        <v>145</v>
      </c>
      <c r="B145" s="313"/>
      <c r="C145" s="306">
        <v>914</v>
      </c>
      <c r="D145" s="59" t="s">
        <v>86</v>
      </c>
      <c r="E145" s="59">
        <f t="shared" ca="1" si="8"/>
        <v>0</v>
      </c>
      <c r="F145" s="59">
        <f t="shared" ca="1" si="8"/>
        <v>0</v>
      </c>
      <c r="G145" s="59">
        <f t="shared" ca="1" si="8"/>
        <v>0</v>
      </c>
      <c r="H145" s="59">
        <f t="shared" ca="1" si="8"/>
        <v>0</v>
      </c>
      <c r="I145" s="57"/>
      <c r="J145" s="59">
        <f t="shared" ca="1" si="7"/>
        <v>0</v>
      </c>
      <c r="K145" s="4" t="s">
        <v>100</v>
      </c>
      <c r="L145" s="4"/>
      <c r="M145" s="4"/>
      <c r="N145" s="4"/>
    </row>
    <row r="146" spans="1:14" ht="20.25" customHeight="1">
      <c r="A146" s="106">
        <v>146</v>
      </c>
      <c r="B146" s="313"/>
      <c r="C146" s="306">
        <v>915</v>
      </c>
      <c r="D146" s="59" t="s">
        <v>87</v>
      </c>
      <c r="E146" s="59">
        <f t="shared" ca="1" si="8"/>
        <v>0</v>
      </c>
      <c r="F146" s="59">
        <f t="shared" ca="1" si="8"/>
        <v>0</v>
      </c>
      <c r="G146" s="59">
        <f t="shared" ca="1" si="8"/>
        <v>0</v>
      </c>
      <c r="H146" s="59">
        <f t="shared" ca="1" si="8"/>
        <v>0</v>
      </c>
      <c r="I146" s="57"/>
      <c r="J146" s="59">
        <f t="shared" ca="1" si="7"/>
        <v>0</v>
      </c>
      <c r="K146" s="4"/>
      <c r="L146" s="4"/>
      <c r="M146" s="4"/>
      <c r="N146" s="4"/>
    </row>
    <row r="147" spans="1:14" ht="20.25" customHeight="1">
      <c r="A147" s="106">
        <v>147</v>
      </c>
      <c r="B147" s="313"/>
      <c r="C147" s="306">
        <v>916</v>
      </c>
      <c r="D147" s="59" t="s">
        <v>88</v>
      </c>
      <c r="E147" s="59">
        <f t="shared" ca="1" si="8"/>
        <v>0</v>
      </c>
      <c r="F147" s="59">
        <f t="shared" ca="1" si="8"/>
        <v>0</v>
      </c>
      <c r="G147" s="59">
        <f t="shared" ca="1" si="8"/>
        <v>0</v>
      </c>
      <c r="H147" s="59">
        <f t="shared" ca="1" si="8"/>
        <v>0</v>
      </c>
      <c r="I147" s="57"/>
      <c r="J147" s="59">
        <f t="shared" ca="1" si="7"/>
        <v>0</v>
      </c>
      <c r="K147" s="4"/>
      <c r="L147" s="4"/>
      <c r="M147" s="4"/>
      <c r="N147" s="4"/>
    </row>
    <row r="148" spans="1:14" ht="20.25" customHeight="1">
      <c r="A148" s="106">
        <v>148</v>
      </c>
      <c r="B148" s="169"/>
      <c r="C148" s="306">
        <v>917</v>
      </c>
      <c r="D148" s="307" t="s">
        <v>89</v>
      </c>
      <c r="E148" s="59">
        <f t="shared" ca="1" si="8"/>
        <v>0</v>
      </c>
      <c r="F148" s="59">
        <f t="shared" ca="1" si="8"/>
        <v>0</v>
      </c>
      <c r="G148" s="59">
        <f t="shared" ca="1" si="8"/>
        <v>0</v>
      </c>
      <c r="H148" s="59">
        <f t="shared" ca="1" si="8"/>
        <v>0</v>
      </c>
      <c r="I148" s="57"/>
      <c r="J148" s="59">
        <f t="shared" ca="1" si="7"/>
        <v>0</v>
      </c>
      <c r="K148" s="4"/>
      <c r="L148" s="4"/>
      <c r="M148" s="4"/>
      <c r="N148" s="4"/>
    </row>
    <row r="149" spans="1:14" ht="27.75" customHeight="1">
      <c r="A149" s="106"/>
      <c r="B149" s="4"/>
      <c r="C149" s="106"/>
      <c r="D149" s="13" t="s">
        <v>103</v>
      </c>
      <c r="E149" s="4"/>
      <c r="F149" s="4"/>
      <c r="G149" s="4"/>
      <c r="H149" s="4"/>
      <c r="I149" s="4"/>
      <c r="J149" s="4"/>
      <c r="K149" s="4"/>
      <c r="L149" s="4"/>
      <c r="M149" s="4"/>
      <c r="N149" s="4"/>
    </row>
    <row r="150" spans="1:14" ht="20.25" customHeight="1">
      <c r="A150" s="106">
        <v>150</v>
      </c>
      <c r="B150" s="169"/>
      <c r="C150" s="306">
        <v>921</v>
      </c>
      <c r="D150" s="59" t="s">
        <v>91</v>
      </c>
      <c r="E150" s="57"/>
      <c r="F150" s="57"/>
      <c r="G150" s="57"/>
      <c r="H150" s="57"/>
      <c r="I150" s="59">
        <f t="shared" ref="I150:J156" ca="1" si="9">I700</f>
        <v>0</v>
      </c>
      <c r="J150" s="59">
        <f t="shared" ca="1" si="9"/>
        <v>0</v>
      </c>
      <c r="K150" s="4"/>
      <c r="L150" s="4"/>
      <c r="M150" s="4"/>
      <c r="N150" s="4"/>
    </row>
    <row r="151" spans="1:14" ht="20.25" customHeight="1">
      <c r="A151" s="106">
        <v>151</v>
      </c>
      <c r="B151" s="169"/>
      <c r="C151" s="306">
        <v>922</v>
      </c>
      <c r="D151" s="59" t="s">
        <v>84</v>
      </c>
      <c r="E151" s="57"/>
      <c r="F151" s="57"/>
      <c r="G151" s="57"/>
      <c r="H151" s="57"/>
      <c r="I151" s="59">
        <f t="shared" ca="1" si="9"/>
        <v>0</v>
      </c>
      <c r="J151" s="59">
        <f t="shared" ca="1" si="9"/>
        <v>0</v>
      </c>
      <c r="K151" s="4"/>
      <c r="L151" s="4"/>
      <c r="M151" s="4"/>
      <c r="N151" s="4"/>
    </row>
    <row r="152" spans="1:14" ht="20.25" customHeight="1">
      <c r="A152" s="106">
        <v>152</v>
      </c>
      <c r="B152" s="169"/>
      <c r="C152" s="306">
        <v>923</v>
      </c>
      <c r="D152" s="59" t="s">
        <v>85</v>
      </c>
      <c r="E152" s="57"/>
      <c r="F152" s="57"/>
      <c r="G152" s="57"/>
      <c r="H152" s="57"/>
      <c r="I152" s="59">
        <f t="shared" ca="1" si="9"/>
        <v>0</v>
      </c>
      <c r="J152" s="59">
        <f t="shared" ca="1" si="9"/>
        <v>0</v>
      </c>
      <c r="K152" s="4"/>
      <c r="L152" s="4"/>
      <c r="M152" s="4"/>
      <c r="N152" s="4"/>
    </row>
    <row r="153" spans="1:14" ht="20.25" customHeight="1">
      <c r="A153" s="106">
        <v>153</v>
      </c>
      <c r="B153" s="169"/>
      <c r="C153" s="306">
        <v>924</v>
      </c>
      <c r="D153" s="59" t="s">
        <v>86</v>
      </c>
      <c r="E153" s="57"/>
      <c r="F153" s="57"/>
      <c r="G153" s="57"/>
      <c r="H153" s="57"/>
      <c r="I153" s="59">
        <f t="shared" ca="1" si="9"/>
        <v>0</v>
      </c>
      <c r="J153" s="59">
        <f t="shared" ca="1" si="9"/>
        <v>0</v>
      </c>
      <c r="K153" s="4"/>
      <c r="L153" s="4"/>
      <c r="M153" s="4"/>
      <c r="N153" s="4"/>
    </row>
    <row r="154" spans="1:14" ht="20.25" customHeight="1">
      <c r="A154" s="106">
        <v>154</v>
      </c>
      <c r="B154" s="169"/>
      <c r="C154" s="306">
        <v>925</v>
      </c>
      <c r="D154" s="59" t="s">
        <v>87</v>
      </c>
      <c r="E154" s="57"/>
      <c r="F154" s="57"/>
      <c r="G154" s="57"/>
      <c r="H154" s="57"/>
      <c r="I154" s="59">
        <f t="shared" ca="1" si="9"/>
        <v>0</v>
      </c>
      <c r="J154" s="59">
        <f t="shared" ca="1" si="9"/>
        <v>0</v>
      </c>
      <c r="K154" s="4"/>
      <c r="L154" s="4"/>
      <c r="M154" s="4"/>
      <c r="N154" s="4"/>
    </row>
    <row r="155" spans="1:14" ht="20.25" customHeight="1">
      <c r="A155" s="106">
        <v>155</v>
      </c>
      <c r="B155" s="169"/>
      <c r="C155" s="306">
        <v>926</v>
      </c>
      <c r="D155" s="59" t="s">
        <v>88</v>
      </c>
      <c r="E155" s="57"/>
      <c r="F155" s="57"/>
      <c r="G155" s="57"/>
      <c r="H155" s="57"/>
      <c r="I155" s="59">
        <f t="shared" ca="1" si="9"/>
        <v>0</v>
      </c>
      <c r="J155" s="59">
        <f t="shared" ca="1" si="9"/>
        <v>0</v>
      </c>
      <c r="K155" s="4"/>
      <c r="L155" s="4"/>
      <c r="M155" s="4"/>
      <c r="N155" s="4"/>
    </row>
    <row r="156" spans="1:14" ht="20.25" customHeight="1">
      <c r="A156" s="106">
        <v>156</v>
      </c>
      <c r="B156" s="169"/>
      <c r="C156" s="306">
        <v>929</v>
      </c>
      <c r="D156" s="307" t="s">
        <v>89</v>
      </c>
      <c r="E156" s="57"/>
      <c r="F156" s="57"/>
      <c r="G156" s="57"/>
      <c r="H156" s="57"/>
      <c r="I156" s="59">
        <f t="shared" ca="1" si="9"/>
        <v>0</v>
      </c>
      <c r="J156" s="59">
        <f t="shared" ca="1" si="9"/>
        <v>0</v>
      </c>
      <c r="K156" s="4"/>
      <c r="L156" s="4"/>
      <c r="M156" s="4"/>
      <c r="N156" s="4"/>
    </row>
    <row r="157" spans="1:14" ht="27.75" customHeight="1">
      <c r="A157" s="106"/>
      <c r="B157" s="4"/>
      <c r="C157" s="311"/>
      <c r="D157" s="13" t="s">
        <v>104</v>
      </c>
      <c r="E157" s="4"/>
      <c r="F157" s="4"/>
      <c r="G157" s="4"/>
      <c r="H157" s="4"/>
      <c r="I157" s="4"/>
      <c r="J157" s="4"/>
      <c r="K157" s="4"/>
      <c r="L157" s="4"/>
      <c r="M157" s="4"/>
      <c r="N157" s="4"/>
    </row>
    <row r="158" spans="1:14" ht="20.25" customHeight="1">
      <c r="A158" s="106">
        <v>158</v>
      </c>
      <c r="B158" s="169"/>
      <c r="C158" s="306">
        <v>964</v>
      </c>
      <c r="D158" s="59" t="s">
        <v>86</v>
      </c>
      <c r="E158" s="59">
        <f t="shared" ref="E158:H161" ca="1" si="10">E708</f>
        <v>0</v>
      </c>
      <c r="F158" s="59">
        <f t="shared" ca="1" si="10"/>
        <v>0</v>
      </c>
      <c r="G158" s="59">
        <f t="shared" ca="1" si="10"/>
        <v>0</v>
      </c>
      <c r="H158" s="59">
        <f t="shared" ca="1" si="10"/>
        <v>0</v>
      </c>
      <c r="I158" s="57"/>
      <c r="J158" s="59">
        <f ca="1">J708</f>
        <v>0</v>
      </c>
      <c r="K158" s="4" t="s">
        <v>100</v>
      </c>
      <c r="L158" s="4"/>
      <c r="M158" s="4"/>
      <c r="N158" s="4"/>
    </row>
    <row r="159" spans="1:14" ht="20.25" customHeight="1">
      <c r="A159" s="106">
        <v>159</v>
      </c>
      <c r="B159" s="169"/>
      <c r="C159" s="306">
        <v>965</v>
      </c>
      <c r="D159" s="59" t="s">
        <v>87</v>
      </c>
      <c r="E159" s="59">
        <f t="shared" ca="1" si="10"/>
        <v>0</v>
      </c>
      <c r="F159" s="59">
        <f t="shared" ca="1" si="10"/>
        <v>0</v>
      </c>
      <c r="G159" s="59">
        <f t="shared" ca="1" si="10"/>
        <v>0</v>
      </c>
      <c r="H159" s="59">
        <f t="shared" ca="1" si="10"/>
        <v>0</v>
      </c>
      <c r="I159" s="57"/>
      <c r="J159" s="59">
        <f ca="1">J709</f>
        <v>0</v>
      </c>
      <c r="K159" s="4" t="s">
        <v>100</v>
      </c>
      <c r="L159" s="4"/>
      <c r="M159" s="4"/>
      <c r="N159" s="4"/>
    </row>
    <row r="160" spans="1:14" ht="20.25" customHeight="1">
      <c r="A160" s="106">
        <v>160</v>
      </c>
      <c r="B160" s="169"/>
      <c r="C160" s="306">
        <v>966</v>
      </c>
      <c r="D160" s="59" t="s">
        <v>88</v>
      </c>
      <c r="E160" s="59">
        <f t="shared" ca="1" si="10"/>
        <v>0</v>
      </c>
      <c r="F160" s="59">
        <f t="shared" ca="1" si="10"/>
        <v>0</v>
      </c>
      <c r="G160" s="59">
        <f t="shared" ca="1" si="10"/>
        <v>0</v>
      </c>
      <c r="H160" s="59">
        <f t="shared" ca="1" si="10"/>
        <v>0</v>
      </c>
      <c r="I160" s="57"/>
      <c r="J160" s="59">
        <f ca="1">J710</f>
        <v>0</v>
      </c>
      <c r="K160" s="4" t="s">
        <v>100</v>
      </c>
      <c r="L160" s="4"/>
      <c r="M160" s="4"/>
      <c r="N160" s="4"/>
    </row>
    <row r="161" spans="1:14" ht="20.25" customHeight="1">
      <c r="A161" s="106">
        <v>161</v>
      </c>
      <c r="B161" s="169"/>
      <c r="C161" s="306">
        <v>969</v>
      </c>
      <c r="D161" s="307" t="s">
        <v>89</v>
      </c>
      <c r="E161" s="59">
        <f t="shared" ca="1" si="10"/>
        <v>0</v>
      </c>
      <c r="F161" s="59">
        <f t="shared" ca="1" si="10"/>
        <v>0</v>
      </c>
      <c r="G161" s="59">
        <f t="shared" ca="1" si="10"/>
        <v>0</v>
      </c>
      <c r="H161" s="59">
        <f t="shared" ca="1" si="10"/>
        <v>0</v>
      </c>
      <c r="I161" s="57"/>
      <c r="J161" s="59">
        <f ca="1">J711</f>
        <v>0</v>
      </c>
      <c r="K161" s="4" t="s">
        <v>100</v>
      </c>
      <c r="L161" s="4"/>
      <c r="M161" s="4"/>
      <c r="N161" s="4"/>
    </row>
    <row r="162" spans="1:14" ht="27.75" customHeight="1">
      <c r="A162" s="106"/>
      <c r="B162" s="4"/>
      <c r="C162" s="311"/>
      <c r="D162" s="13" t="s">
        <v>105</v>
      </c>
      <c r="E162" s="4"/>
      <c r="F162" s="4"/>
      <c r="G162" s="4"/>
      <c r="H162" s="4"/>
      <c r="I162" s="4"/>
      <c r="J162" s="58"/>
      <c r="K162" s="4"/>
      <c r="L162" s="4"/>
      <c r="M162" s="4"/>
      <c r="N162" s="4"/>
    </row>
    <row r="163" spans="1:14" ht="20.25" customHeight="1">
      <c r="A163" s="106">
        <v>163</v>
      </c>
      <c r="B163" s="169"/>
      <c r="C163" s="306">
        <v>981</v>
      </c>
      <c r="D163" s="59" t="s">
        <v>91</v>
      </c>
      <c r="E163" s="59">
        <f ca="1">E713</f>
        <v>7778201.3600000003</v>
      </c>
      <c r="F163" s="59">
        <f ca="1">F713</f>
        <v>2082829.1</v>
      </c>
      <c r="G163" s="59">
        <f ca="1">G713</f>
        <v>0</v>
      </c>
      <c r="H163" s="59">
        <f ca="1">H713</f>
        <v>0</v>
      </c>
      <c r="I163" s="57"/>
      <c r="J163" s="59">
        <f ca="1">J713</f>
        <v>9861030</v>
      </c>
      <c r="K163" s="4"/>
      <c r="L163" s="4"/>
      <c r="M163" s="4"/>
      <c r="N163" s="4"/>
    </row>
    <row r="164" spans="1:14" ht="27.75" customHeight="1">
      <c r="A164" s="106"/>
      <c r="B164" s="4"/>
      <c r="C164" s="311"/>
      <c r="D164" s="13" t="s">
        <v>106</v>
      </c>
      <c r="E164" s="4"/>
      <c r="F164" s="4"/>
      <c r="G164" s="4"/>
      <c r="H164" s="4"/>
      <c r="I164" s="4"/>
      <c r="J164" s="4"/>
      <c r="K164" s="4"/>
      <c r="L164" s="4"/>
      <c r="M164" s="4"/>
      <c r="N164" s="4"/>
    </row>
    <row r="165" spans="1:14" ht="20.25" customHeight="1">
      <c r="A165" s="106">
        <v>165</v>
      </c>
      <c r="B165" s="169"/>
      <c r="C165" s="314">
        <v>1041</v>
      </c>
      <c r="D165" s="59" t="s">
        <v>91</v>
      </c>
      <c r="E165" s="59">
        <f t="shared" ref="E165:H169" ca="1" si="11">E715</f>
        <v>0</v>
      </c>
      <c r="F165" s="59">
        <f t="shared" ca="1" si="11"/>
        <v>623927.54</v>
      </c>
      <c r="G165" s="59">
        <f t="shared" ca="1" si="11"/>
        <v>0</v>
      </c>
      <c r="H165" s="59">
        <f t="shared" ca="1" si="11"/>
        <v>0</v>
      </c>
      <c r="I165" s="57"/>
      <c r="J165" s="59">
        <f t="shared" ref="J165:J171" ca="1" si="12">J715</f>
        <v>623928</v>
      </c>
      <c r="K165" s="4"/>
      <c r="L165" s="4"/>
      <c r="M165" s="4"/>
      <c r="N165" s="4"/>
    </row>
    <row r="166" spans="1:14" ht="20.25" customHeight="1">
      <c r="A166" s="106">
        <v>166</v>
      </c>
      <c r="B166" s="169"/>
      <c r="C166" s="314">
        <v>1042</v>
      </c>
      <c r="D166" s="59" t="s">
        <v>84</v>
      </c>
      <c r="E166" s="59">
        <f t="shared" ca="1" si="11"/>
        <v>0</v>
      </c>
      <c r="F166" s="59">
        <f t="shared" ca="1" si="11"/>
        <v>0</v>
      </c>
      <c r="G166" s="59">
        <f t="shared" ca="1" si="11"/>
        <v>0</v>
      </c>
      <c r="H166" s="59">
        <f t="shared" ca="1" si="11"/>
        <v>0</v>
      </c>
      <c r="I166" s="57"/>
      <c r="J166" s="59">
        <f t="shared" ca="1" si="12"/>
        <v>0</v>
      </c>
      <c r="K166" s="4"/>
      <c r="L166" s="4"/>
      <c r="M166" s="4"/>
      <c r="N166" s="4"/>
    </row>
    <row r="167" spans="1:14" ht="20.25" customHeight="1">
      <c r="A167" s="106">
        <v>167</v>
      </c>
      <c r="B167" s="169"/>
      <c r="C167" s="314">
        <v>1043</v>
      </c>
      <c r="D167" s="59" t="s">
        <v>85</v>
      </c>
      <c r="E167" s="59">
        <f t="shared" ca="1" si="11"/>
        <v>0</v>
      </c>
      <c r="F167" s="59">
        <f t="shared" ca="1" si="11"/>
        <v>0</v>
      </c>
      <c r="G167" s="59">
        <f t="shared" ca="1" si="11"/>
        <v>0</v>
      </c>
      <c r="H167" s="59">
        <f t="shared" ca="1" si="11"/>
        <v>0</v>
      </c>
      <c r="I167" s="57"/>
      <c r="J167" s="59">
        <f t="shared" ca="1" si="12"/>
        <v>0</v>
      </c>
      <c r="K167" s="4"/>
      <c r="L167" s="4"/>
      <c r="M167" s="4"/>
      <c r="N167" s="4"/>
    </row>
    <row r="168" spans="1:14" ht="20.25" customHeight="1">
      <c r="A168" s="106">
        <v>168</v>
      </c>
      <c r="B168" s="169"/>
      <c r="C168" s="314">
        <v>1044</v>
      </c>
      <c r="D168" s="59" t="s">
        <v>86</v>
      </c>
      <c r="E168" s="59">
        <f t="shared" ca="1" si="11"/>
        <v>0</v>
      </c>
      <c r="F168" s="59">
        <f t="shared" ca="1" si="11"/>
        <v>0</v>
      </c>
      <c r="G168" s="59">
        <f t="shared" ca="1" si="11"/>
        <v>0</v>
      </c>
      <c r="H168" s="59">
        <f t="shared" ca="1" si="11"/>
        <v>0</v>
      </c>
      <c r="I168" s="57"/>
      <c r="J168" s="59">
        <f t="shared" ca="1" si="12"/>
        <v>0</v>
      </c>
      <c r="K168" s="4"/>
      <c r="L168" s="4"/>
      <c r="M168" s="4"/>
      <c r="N168" s="4"/>
    </row>
    <row r="169" spans="1:14" ht="20.25" customHeight="1">
      <c r="A169" s="106">
        <v>169</v>
      </c>
      <c r="B169" s="4" t="s">
        <v>107</v>
      </c>
      <c r="C169" s="314">
        <v>1045</v>
      </c>
      <c r="D169" s="59" t="s">
        <v>87</v>
      </c>
      <c r="E169" s="59">
        <f t="shared" ca="1" si="11"/>
        <v>0</v>
      </c>
      <c r="F169" s="59">
        <f t="shared" ca="1" si="11"/>
        <v>0</v>
      </c>
      <c r="G169" s="59">
        <f t="shared" ca="1" si="11"/>
        <v>0</v>
      </c>
      <c r="H169" s="59">
        <f t="shared" ca="1" si="11"/>
        <v>0</v>
      </c>
      <c r="I169" s="57"/>
      <c r="J169" s="59">
        <f t="shared" ca="1" si="12"/>
        <v>0</v>
      </c>
      <c r="K169" s="4"/>
      <c r="L169" s="4"/>
      <c r="M169" s="4"/>
      <c r="N169" s="4"/>
    </row>
    <row r="170" spans="1:14" ht="20.25" customHeight="1">
      <c r="A170" s="106">
        <v>170</v>
      </c>
      <c r="B170" s="4" t="s">
        <v>107</v>
      </c>
      <c r="C170" s="314">
        <v>1046</v>
      </c>
      <c r="D170" s="59" t="s">
        <v>88</v>
      </c>
      <c r="E170" s="59">
        <f t="shared" ref="E170:H171" ca="1" si="13">E720</f>
        <v>0</v>
      </c>
      <c r="F170" s="59">
        <f t="shared" ca="1" si="13"/>
        <v>0</v>
      </c>
      <c r="G170" s="59">
        <f t="shared" ca="1" si="13"/>
        <v>0</v>
      </c>
      <c r="H170" s="59">
        <f t="shared" ca="1" si="13"/>
        <v>0</v>
      </c>
      <c r="I170" s="57"/>
      <c r="J170" s="59">
        <f t="shared" ca="1" si="12"/>
        <v>0</v>
      </c>
      <c r="K170" s="4"/>
      <c r="L170" s="4"/>
      <c r="M170" s="4"/>
      <c r="N170" s="4"/>
    </row>
    <row r="171" spans="1:14" ht="20.25" customHeight="1">
      <c r="A171" s="106">
        <v>171</v>
      </c>
      <c r="B171" s="169"/>
      <c r="C171" s="314">
        <v>1049</v>
      </c>
      <c r="D171" s="307" t="s">
        <v>89</v>
      </c>
      <c r="E171" s="59">
        <f t="shared" ca="1" si="13"/>
        <v>0</v>
      </c>
      <c r="F171" s="59">
        <f t="shared" ca="1" si="13"/>
        <v>623928</v>
      </c>
      <c r="G171" s="59">
        <f t="shared" ca="1" si="13"/>
        <v>0</v>
      </c>
      <c r="H171" s="59">
        <f t="shared" ca="1" si="13"/>
        <v>0</v>
      </c>
      <c r="I171" s="57"/>
      <c r="J171" s="59">
        <f t="shared" ca="1" si="12"/>
        <v>623928</v>
      </c>
      <c r="K171" s="4"/>
      <c r="L171" s="4"/>
      <c r="M171" s="4"/>
      <c r="N171" s="4"/>
    </row>
    <row r="172" spans="1:14" ht="27.75" customHeight="1">
      <c r="A172" s="106"/>
      <c r="B172" s="4"/>
      <c r="C172" s="315"/>
      <c r="D172" s="13" t="s">
        <v>108</v>
      </c>
      <c r="E172" s="4"/>
      <c r="F172" s="4"/>
      <c r="G172" s="4"/>
      <c r="H172" s="4"/>
      <c r="I172" s="4"/>
      <c r="J172" s="4"/>
      <c r="K172" s="4"/>
      <c r="L172" s="4"/>
      <c r="M172" s="4"/>
      <c r="N172" s="4"/>
    </row>
    <row r="173" spans="1:14" ht="20.25" customHeight="1">
      <c r="A173" s="106">
        <v>173</v>
      </c>
      <c r="B173" s="4"/>
      <c r="C173" s="314">
        <v>1051</v>
      </c>
      <c r="D173" s="59" t="s">
        <v>91</v>
      </c>
      <c r="E173" s="59">
        <f t="shared" ref="E173:H176" ca="1" si="14">E723</f>
        <v>5520</v>
      </c>
      <c r="F173" s="59">
        <f t="shared" ca="1" si="14"/>
        <v>31300</v>
      </c>
      <c r="G173" s="59">
        <f t="shared" ca="1" si="14"/>
        <v>0</v>
      </c>
      <c r="H173" s="59">
        <f t="shared" ca="1" si="14"/>
        <v>0</v>
      </c>
      <c r="I173" s="57"/>
      <c r="J173" s="59">
        <f ca="1">J723</f>
        <v>36820</v>
      </c>
      <c r="K173" s="4"/>
      <c r="L173" s="4"/>
      <c r="M173" s="4"/>
      <c r="N173" s="4"/>
    </row>
    <row r="174" spans="1:14" ht="20.25" customHeight="1">
      <c r="A174" s="106">
        <v>174</v>
      </c>
      <c r="B174" s="4"/>
      <c r="C174" s="314">
        <v>1053</v>
      </c>
      <c r="D174" s="59" t="s">
        <v>85</v>
      </c>
      <c r="E174" s="59">
        <f t="shared" ca="1" si="14"/>
        <v>0</v>
      </c>
      <c r="F174" s="59">
        <f t="shared" ca="1" si="14"/>
        <v>0</v>
      </c>
      <c r="G174" s="59">
        <f t="shared" ca="1" si="14"/>
        <v>0</v>
      </c>
      <c r="H174" s="59">
        <f t="shared" ca="1" si="14"/>
        <v>0</v>
      </c>
      <c r="I174" s="57"/>
      <c r="J174" s="59">
        <f ca="1">J724</f>
        <v>0</v>
      </c>
      <c r="K174" s="4"/>
      <c r="L174" s="4"/>
      <c r="M174" s="4"/>
      <c r="N174" s="4"/>
    </row>
    <row r="175" spans="1:14" ht="20.25" customHeight="1">
      <c r="A175" s="106">
        <v>175</v>
      </c>
      <c r="B175" s="4"/>
      <c r="C175" s="314">
        <v>1054</v>
      </c>
      <c r="D175" s="59" t="s">
        <v>86</v>
      </c>
      <c r="E175" s="59">
        <f t="shared" ca="1" si="14"/>
        <v>0</v>
      </c>
      <c r="F175" s="59">
        <f t="shared" ca="1" si="14"/>
        <v>0</v>
      </c>
      <c r="G175" s="59">
        <f t="shared" ca="1" si="14"/>
        <v>0</v>
      </c>
      <c r="H175" s="59">
        <f t="shared" ca="1" si="14"/>
        <v>0</v>
      </c>
      <c r="I175" s="57"/>
      <c r="J175" s="59">
        <f ca="1">J725</f>
        <v>0</v>
      </c>
      <c r="K175" s="4"/>
      <c r="L175" s="4"/>
      <c r="M175" s="4"/>
      <c r="N175" s="4"/>
    </row>
    <row r="176" spans="1:14" ht="20.25" customHeight="1">
      <c r="A176" s="106">
        <v>176</v>
      </c>
      <c r="B176" s="4"/>
      <c r="C176" s="314">
        <v>1059</v>
      </c>
      <c r="D176" s="307" t="s">
        <v>89</v>
      </c>
      <c r="E176" s="59">
        <f t="shared" ca="1" si="14"/>
        <v>5520</v>
      </c>
      <c r="F176" s="59">
        <f t="shared" ca="1" si="14"/>
        <v>31300</v>
      </c>
      <c r="G176" s="59">
        <f t="shared" ca="1" si="14"/>
        <v>0</v>
      </c>
      <c r="H176" s="59">
        <f t="shared" ca="1" si="14"/>
        <v>0</v>
      </c>
      <c r="I176" s="57"/>
      <c r="J176" s="59">
        <f ca="1">J726</f>
        <v>36820</v>
      </c>
      <c r="K176" s="4"/>
      <c r="L176" s="4"/>
      <c r="M176" s="4"/>
      <c r="N176" s="4"/>
    </row>
    <row r="177" spans="1:14" ht="24.75" customHeight="1">
      <c r="A177" s="106"/>
      <c r="B177" s="4"/>
      <c r="C177" s="312"/>
      <c r="D177" s="13" t="s">
        <v>109</v>
      </c>
      <c r="E177" s="4"/>
      <c r="F177" s="4"/>
      <c r="G177" s="4"/>
      <c r="H177" s="4"/>
      <c r="I177" s="4"/>
      <c r="J177" s="4"/>
      <c r="K177" s="4"/>
      <c r="L177" s="4"/>
      <c r="M177" s="4"/>
      <c r="N177" s="4"/>
    </row>
    <row r="178" spans="1:14" ht="20.25" customHeight="1">
      <c r="A178" s="106">
        <v>178</v>
      </c>
      <c r="B178" s="169"/>
      <c r="C178" s="314">
        <v>1063</v>
      </c>
      <c r="D178" s="59" t="s">
        <v>85</v>
      </c>
      <c r="E178" s="59">
        <f t="shared" ref="E178:H180" ca="1" si="15">E728</f>
        <v>91389</v>
      </c>
      <c r="F178" s="59">
        <f t="shared" ca="1" si="15"/>
        <v>40865</v>
      </c>
      <c r="G178" s="59">
        <f t="shared" ca="1" si="15"/>
        <v>0</v>
      </c>
      <c r="H178" s="59">
        <f t="shared" ca="1" si="15"/>
        <v>0</v>
      </c>
      <c r="I178" s="57"/>
      <c r="J178" s="59">
        <f ca="1">J728</f>
        <v>132254</v>
      </c>
      <c r="K178" s="4"/>
      <c r="L178" s="4"/>
      <c r="M178" s="4"/>
      <c r="N178" s="4"/>
    </row>
    <row r="179" spans="1:14" ht="20.25" customHeight="1">
      <c r="A179" s="106">
        <v>179</v>
      </c>
      <c r="B179" s="169"/>
      <c r="C179" s="314">
        <v>1064</v>
      </c>
      <c r="D179" s="59" t="s">
        <v>86</v>
      </c>
      <c r="E179" s="59">
        <f t="shared" ca="1" si="15"/>
        <v>119774.99</v>
      </c>
      <c r="F179" s="59">
        <f t="shared" ca="1" si="15"/>
        <v>60145.08</v>
      </c>
      <c r="G179" s="59">
        <f t="shared" ca="1" si="15"/>
        <v>0</v>
      </c>
      <c r="H179" s="59">
        <f t="shared" ca="1" si="15"/>
        <v>0</v>
      </c>
      <c r="I179" s="57"/>
      <c r="J179" s="59">
        <f ca="1">J729</f>
        <v>179920</v>
      </c>
      <c r="K179" s="4"/>
      <c r="L179" s="4"/>
      <c r="M179" s="4"/>
      <c r="N179" s="4"/>
    </row>
    <row r="180" spans="1:14" ht="20.25" customHeight="1">
      <c r="A180" s="106">
        <v>180</v>
      </c>
      <c r="B180" s="169"/>
      <c r="C180" s="314">
        <v>1069</v>
      </c>
      <c r="D180" s="307" t="s">
        <v>89</v>
      </c>
      <c r="E180" s="59">
        <f t="shared" ca="1" si="15"/>
        <v>211164</v>
      </c>
      <c r="F180" s="59">
        <f t="shared" ca="1" si="15"/>
        <v>101010</v>
      </c>
      <c r="G180" s="59">
        <f t="shared" ca="1" si="15"/>
        <v>0</v>
      </c>
      <c r="H180" s="59">
        <f t="shared" ca="1" si="15"/>
        <v>0</v>
      </c>
      <c r="I180" s="57"/>
      <c r="J180" s="59">
        <f ca="1">J730</f>
        <v>312174</v>
      </c>
      <c r="K180" s="4"/>
      <c r="L180" s="4"/>
      <c r="M180" s="4"/>
      <c r="N180" s="4"/>
    </row>
    <row r="181" spans="1:14" ht="27.75" customHeight="1">
      <c r="A181" s="106"/>
      <c r="B181" s="4"/>
      <c r="C181" s="311"/>
      <c r="D181" s="13" t="s">
        <v>110</v>
      </c>
      <c r="E181" s="4"/>
      <c r="F181" s="4"/>
      <c r="G181" s="4"/>
      <c r="H181" s="4"/>
      <c r="I181" s="4"/>
      <c r="J181" s="4"/>
      <c r="K181" s="4"/>
      <c r="L181" s="4"/>
      <c r="M181" s="4"/>
      <c r="N181" s="4"/>
    </row>
    <row r="182" spans="1:14" ht="20.25" customHeight="1">
      <c r="A182" s="106">
        <v>182</v>
      </c>
      <c r="B182" s="169"/>
      <c r="C182" s="314">
        <v>1083</v>
      </c>
      <c r="D182" s="59" t="s">
        <v>85</v>
      </c>
      <c r="E182" s="59">
        <f t="shared" ref="E182:H184" ca="1" si="16">E732</f>
        <v>96135.11</v>
      </c>
      <c r="F182" s="59">
        <f t="shared" ca="1" si="16"/>
        <v>1060979</v>
      </c>
      <c r="G182" s="59">
        <f t="shared" ca="1" si="16"/>
        <v>0</v>
      </c>
      <c r="H182" s="59">
        <f t="shared" ca="1" si="16"/>
        <v>0</v>
      </c>
      <c r="I182" s="57"/>
      <c r="J182" s="59">
        <f ca="1">J732</f>
        <v>1157114</v>
      </c>
      <c r="K182" s="4"/>
      <c r="L182" s="4"/>
      <c r="M182" s="4"/>
      <c r="N182" s="4"/>
    </row>
    <row r="183" spans="1:14" ht="20.25" customHeight="1">
      <c r="A183" s="106">
        <v>183</v>
      </c>
      <c r="B183" s="169"/>
      <c r="C183" s="314">
        <v>1084</v>
      </c>
      <c r="D183" s="59" t="s">
        <v>86</v>
      </c>
      <c r="E183" s="59">
        <f t="shared" ca="1" si="16"/>
        <v>0</v>
      </c>
      <c r="F183" s="59">
        <f t="shared" ca="1" si="16"/>
        <v>0</v>
      </c>
      <c r="G183" s="59">
        <f t="shared" ca="1" si="16"/>
        <v>0</v>
      </c>
      <c r="H183" s="59">
        <f t="shared" ca="1" si="16"/>
        <v>0</v>
      </c>
      <c r="I183" s="57"/>
      <c r="J183" s="59">
        <f ca="1">J733</f>
        <v>0</v>
      </c>
      <c r="K183" s="4"/>
      <c r="L183" s="4"/>
      <c r="M183" s="4"/>
      <c r="N183" s="4"/>
    </row>
    <row r="184" spans="1:14" ht="20.25" customHeight="1">
      <c r="A184" s="106">
        <v>184</v>
      </c>
      <c r="B184" s="169"/>
      <c r="C184" s="314">
        <v>1089</v>
      </c>
      <c r="D184" s="307" t="s">
        <v>89</v>
      </c>
      <c r="E184" s="59">
        <f t="shared" ca="1" si="16"/>
        <v>96135</v>
      </c>
      <c r="F184" s="59">
        <f t="shared" ca="1" si="16"/>
        <v>1060979</v>
      </c>
      <c r="G184" s="59">
        <f t="shared" ca="1" si="16"/>
        <v>0</v>
      </c>
      <c r="H184" s="59">
        <f t="shared" ca="1" si="16"/>
        <v>0</v>
      </c>
      <c r="I184" s="57"/>
      <c r="J184" s="59">
        <f ca="1">J734</f>
        <v>1157114</v>
      </c>
      <c r="K184" s="4"/>
      <c r="L184" s="4"/>
      <c r="M184" s="4"/>
      <c r="N184" s="4"/>
    </row>
    <row r="185" spans="1:14" ht="27.75" customHeight="1">
      <c r="A185" s="106"/>
      <c r="B185" s="4"/>
      <c r="C185" s="311"/>
      <c r="D185" s="13" t="s">
        <v>111</v>
      </c>
      <c r="E185" s="4"/>
      <c r="F185" s="4"/>
      <c r="G185" s="4"/>
      <c r="H185" s="4"/>
      <c r="I185" s="4"/>
      <c r="J185" s="4"/>
      <c r="K185" s="4"/>
      <c r="L185" s="4"/>
      <c r="M185" s="4"/>
      <c r="N185" s="4"/>
    </row>
    <row r="186" spans="1:14" ht="20.25" customHeight="1">
      <c r="A186" s="106">
        <v>186</v>
      </c>
      <c r="B186" s="169"/>
      <c r="C186" s="314">
        <v>1101</v>
      </c>
      <c r="D186" s="59" t="s">
        <v>91</v>
      </c>
      <c r="E186" s="57"/>
      <c r="F186" s="57"/>
      <c r="G186" s="57"/>
      <c r="H186" s="57"/>
      <c r="I186" s="59">
        <f t="shared" ref="I186:J189" ca="1" si="17">I736</f>
        <v>0</v>
      </c>
      <c r="J186" s="59">
        <f t="shared" ca="1" si="17"/>
        <v>0</v>
      </c>
      <c r="K186" s="4"/>
      <c r="L186" s="4"/>
      <c r="M186" s="4"/>
      <c r="N186" s="4"/>
    </row>
    <row r="187" spans="1:14" ht="20.25" customHeight="1">
      <c r="A187" s="106">
        <v>187</v>
      </c>
      <c r="B187" s="169"/>
      <c r="C187" s="314">
        <v>1102</v>
      </c>
      <c r="D187" s="59" t="s">
        <v>84</v>
      </c>
      <c r="E187" s="57"/>
      <c r="F187" s="57"/>
      <c r="G187" s="57"/>
      <c r="H187" s="57"/>
      <c r="I187" s="59">
        <f t="shared" ca="1" si="17"/>
        <v>0</v>
      </c>
      <c r="J187" s="59">
        <f t="shared" ca="1" si="17"/>
        <v>0</v>
      </c>
      <c r="K187" s="4"/>
      <c r="L187" s="4"/>
      <c r="M187" s="4"/>
      <c r="N187" s="4"/>
    </row>
    <row r="188" spans="1:14" ht="20.25" customHeight="1">
      <c r="A188" s="106">
        <v>188</v>
      </c>
      <c r="B188" s="169"/>
      <c r="C188" s="314">
        <v>1103</v>
      </c>
      <c r="D188" s="59" t="s">
        <v>85</v>
      </c>
      <c r="E188" s="57"/>
      <c r="F188" s="57"/>
      <c r="G188" s="57"/>
      <c r="H188" s="57"/>
      <c r="I188" s="59">
        <f t="shared" ca="1" si="17"/>
        <v>0</v>
      </c>
      <c r="J188" s="59">
        <f t="shared" ca="1" si="17"/>
        <v>0</v>
      </c>
      <c r="K188" s="4"/>
      <c r="L188" s="4"/>
      <c r="M188" s="4"/>
      <c r="N188" s="4"/>
    </row>
    <row r="189" spans="1:14" ht="20.25" customHeight="1">
      <c r="A189" s="106">
        <v>189</v>
      </c>
      <c r="B189" s="169"/>
      <c r="C189" s="314">
        <v>1109</v>
      </c>
      <c r="D189" s="307" t="s">
        <v>89</v>
      </c>
      <c r="E189" s="57"/>
      <c r="F189" s="57"/>
      <c r="G189" s="57"/>
      <c r="H189" s="57"/>
      <c r="I189" s="59">
        <f t="shared" ca="1" si="17"/>
        <v>0</v>
      </c>
      <c r="J189" s="59">
        <f t="shared" ca="1" si="17"/>
        <v>0</v>
      </c>
      <c r="K189" s="4"/>
      <c r="L189" s="4"/>
      <c r="M189" s="4"/>
      <c r="N189" s="4"/>
    </row>
    <row r="190" spans="1:14" ht="20.25" customHeight="1">
      <c r="A190" s="106"/>
      <c r="B190" s="4"/>
      <c r="C190" s="311"/>
      <c r="D190" s="13" t="s">
        <v>112</v>
      </c>
      <c r="E190" s="4"/>
      <c r="F190" s="4"/>
      <c r="G190" s="4"/>
      <c r="H190" s="4"/>
      <c r="I190" s="4"/>
      <c r="J190" s="4"/>
      <c r="K190" s="4"/>
      <c r="L190" s="4"/>
      <c r="M190" s="4"/>
      <c r="N190" s="4"/>
    </row>
    <row r="191" spans="1:14" ht="20.25" customHeight="1">
      <c r="A191" s="106">
        <v>191</v>
      </c>
      <c r="B191" s="313"/>
      <c r="C191" s="314">
        <v>1111</v>
      </c>
      <c r="D191" s="59" t="s">
        <v>86</v>
      </c>
      <c r="E191" s="59">
        <f ca="1">E741</f>
        <v>0</v>
      </c>
      <c r="F191" s="59">
        <f ca="1">F741</f>
        <v>0</v>
      </c>
      <c r="G191" s="59">
        <f ca="1">G741</f>
        <v>0</v>
      </c>
      <c r="H191" s="59">
        <f ca="1">H741</f>
        <v>0</v>
      </c>
      <c r="I191" s="57"/>
      <c r="J191" s="59">
        <f ca="1">J741</f>
        <v>0</v>
      </c>
      <c r="K191" s="4" t="s">
        <v>100</v>
      </c>
      <c r="L191" s="4"/>
      <c r="M191" s="4"/>
      <c r="N191" s="4"/>
    </row>
    <row r="192" spans="1:14" ht="20.25" customHeight="1">
      <c r="A192" s="106">
        <v>192</v>
      </c>
      <c r="B192" s="313"/>
      <c r="C192" s="314">
        <v>1112</v>
      </c>
      <c r="D192" s="59" t="s">
        <v>87</v>
      </c>
      <c r="E192" s="59">
        <f t="shared" ref="E192:H194" ca="1" si="18">E742</f>
        <v>0</v>
      </c>
      <c r="F192" s="59">
        <f t="shared" ca="1" si="18"/>
        <v>0</v>
      </c>
      <c r="G192" s="59">
        <f t="shared" ca="1" si="18"/>
        <v>0</v>
      </c>
      <c r="H192" s="59">
        <f t="shared" ca="1" si="18"/>
        <v>0</v>
      </c>
      <c r="I192" s="57"/>
      <c r="J192" s="59">
        <f ca="1">J742</f>
        <v>0</v>
      </c>
      <c r="K192" s="4" t="s">
        <v>100</v>
      </c>
      <c r="L192" s="4"/>
      <c r="M192" s="4"/>
      <c r="N192" s="4"/>
    </row>
    <row r="193" spans="1:14" ht="20.25" customHeight="1">
      <c r="A193" s="106">
        <v>193</v>
      </c>
      <c r="B193" s="313"/>
      <c r="C193" s="314">
        <v>1113</v>
      </c>
      <c r="D193" s="59" t="s">
        <v>88</v>
      </c>
      <c r="E193" s="59">
        <f t="shared" ca="1" si="18"/>
        <v>0</v>
      </c>
      <c r="F193" s="59">
        <f t="shared" ca="1" si="18"/>
        <v>0</v>
      </c>
      <c r="G193" s="59">
        <f t="shared" ca="1" si="18"/>
        <v>0</v>
      </c>
      <c r="H193" s="59">
        <f t="shared" ca="1" si="18"/>
        <v>0</v>
      </c>
      <c r="I193" s="57"/>
      <c r="J193" s="59">
        <f ca="1">J743</f>
        <v>0</v>
      </c>
      <c r="K193" s="4"/>
      <c r="L193" s="4"/>
      <c r="M193" s="4"/>
      <c r="N193" s="4"/>
    </row>
    <row r="194" spans="1:14" ht="20.25" customHeight="1">
      <c r="A194" s="106">
        <v>194</v>
      </c>
      <c r="B194" s="169"/>
      <c r="C194" s="314">
        <v>1115</v>
      </c>
      <c r="D194" s="307" t="s">
        <v>89</v>
      </c>
      <c r="E194" s="59">
        <f t="shared" ca="1" si="18"/>
        <v>0</v>
      </c>
      <c r="F194" s="59">
        <f t="shared" ca="1" si="18"/>
        <v>0</v>
      </c>
      <c r="G194" s="59">
        <f t="shared" ca="1" si="18"/>
        <v>0</v>
      </c>
      <c r="H194" s="59">
        <f t="shared" ca="1" si="18"/>
        <v>0</v>
      </c>
      <c r="I194" s="57"/>
      <c r="J194" s="59">
        <f ca="1">J744</f>
        <v>0</v>
      </c>
      <c r="K194" s="4"/>
      <c r="L194" s="4"/>
      <c r="M194" s="4"/>
      <c r="N194" s="4"/>
    </row>
    <row r="195" spans="1:14" ht="27.75" customHeight="1">
      <c r="A195" s="106"/>
      <c r="B195" s="4"/>
      <c r="D195" s="13" t="s">
        <v>113</v>
      </c>
      <c r="K195" s="4"/>
      <c r="L195" s="4"/>
      <c r="M195" s="4"/>
      <c r="N195" s="4"/>
    </row>
    <row r="196" spans="1:14" ht="20.25" customHeight="1">
      <c r="A196" s="106">
        <v>196</v>
      </c>
      <c r="B196" s="169"/>
      <c r="C196" s="314">
        <v>1121</v>
      </c>
      <c r="D196" s="59" t="s">
        <v>91</v>
      </c>
      <c r="E196" s="57"/>
      <c r="F196" s="57"/>
      <c r="G196" s="57"/>
      <c r="H196" s="57"/>
      <c r="I196" s="59">
        <f t="shared" ref="I196:J202" ca="1" si="19">I746</f>
        <v>0</v>
      </c>
      <c r="J196" s="59">
        <f t="shared" ca="1" si="19"/>
        <v>0</v>
      </c>
      <c r="K196" s="4"/>
      <c r="L196" s="4"/>
      <c r="M196" s="4"/>
      <c r="N196" s="4"/>
    </row>
    <row r="197" spans="1:14" ht="20.25" customHeight="1">
      <c r="A197" s="106">
        <v>197</v>
      </c>
      <c r="B197" s="169"/>
      <c r="C197" s="314">
        <v>1122</v>
      </c>
      <c r="D197" s="59" t="s">
        <v>84</v>
      </c>
      <c r="E197" s="57"/>
      <c r="F197" s="57"/>
      <c r="G197" s="57"/>
      <c r="H197" s="57"/>
      <c r="I197" s="59">
        <f t="shared" ca="1" si="19"/>
        <v>0</v>
      </c>
      <c r="J197" s="59">
        <f t="shared" ca="1" si="19"/>
        <v>0</v>
      </c>
      <c r="K197" s="4"/>
      <c r="L197" s="4"/>
      <c r="M197" s="4"/>
      <c r="N197" s="4"/>
    </row>
    <row r="198" spans="1:14" ht="20.25" customHeight="1">
      <c r="A198" s="106">
        <v>198</v>
      </c>
      <c r="B198" s="169"/>
      <c r="C198" s="314">
        <v>1123</v>
      </c>
      <c r="D198" s="59" t="s">
        <v>85</v>
      </c>
      <c r="E198" s="57"/>
      <c r="F198" s="57"/>
      <c r="G198" s="57"/>
      <c r="H198" s="57"/>
      <c r="I198" s="59">
        <f t="shared" ca="1" si="19"/>
        <v>0</v>
      </c>
      <c r="J198" s="59">
        <f t="shared" ca="1" si="19"/>
        <v>0</v>
      </c>
      <c r="K198" s="4" t="s">
        <v>100</v>
      </c>
      <c r="L198" s="4"/>
      <c r="M198" s="4"/>
      <c r="N198" s="4"/>
    </row>
    <row r="199" spans="1:14" ht="20.25" customHeight="1">
      <c r="A199" s="106">
        <v>199</v>
      </c>
      <c r="B199" s="169"/>
      <c r="C199" s="314">
        <v>1124</v>
      </c>
      <c r="D199" s="59" t="s">
        <v>86</v>
      </c>
      <c r="E199" s="57"/>
      <c r="F199" s="57"/>
      <c r="G199" s="57"/>
      <c r="H199" s="57"/>
      <c r="I199" s="59">
        <f t="shared" ca="1" si="19"/>
        <v>0</v>
      </c>
      <c r="J199" s="59">
        <f t="shared" ca="1" si="19"/>
        <v>0</v>
      </c>
      <c r="K199" s="4"/>
      <c r="L199" s="4"/>
      <c r="M199" s="4"/>
      <c r="N199" s="4"/>
    </row>
    <row r="200" spans="1:14" ht="20.25" customHeight="1">
      <c r="A200" s="106">
        <v>200</v>
      </c>
      <c r="B200" s="169"/>
      <c r="C200" s="314">
        <v>1125</v>
      </c>
      <c r="D200" s="59" t="s">
        <v>87</v>
      </c>
      <c r="E200" s="57"/>
      <c r="F200" s="57"/>
      <c r="G200" s="57"/>
      <c r="H200" s="57"/>
      <c r="I200" s="59">
        <f t="shared" ca="1" si="19"/>
        <v>0</v>
      </c>
      <c r="J200" s="59">
        <f t="shared" ca="1" si="19"/>
        <v>0</v>
      </c>
      <c r="K200" s="4"/>
      <c r="L200" s="4"/>
      <c r="M200" s="4"/>
      <c r="N200" s="4"/>
    </row>
    <row r="201" spans="1:14" ht="20.25" customHeight="1">
      <c r="A201" s="106">
        <v>201</v>
      </c>
      <c r="B201" s="169"/>
      <c r="C201" s="314">
        <v>1126</v>
      </c>
      <c r="D201" s="59" t="s">
        <v>88</v>
      </c>
      <c r="E201" s="57"/>
      <c r="F201" s="57"/>
      <c r="G201" s="57"/>
      <c r="H201" s="57"/>
      <c r="I201" s="59">
        <f t="shared" ca="1" si="19"/>
        <v>0</v>
      </c>
      <c r="J201" s="59">
        <f t="shared" ca="1" si="19"/>
        <v>0</v>
      </c>
      <c r="K201" s="4"/>
      <c r="L201" s="4"/>
      <c r="M201" s="4"/>
      <c r="N201" s="4"/>
    </row>
    <row r="202" spans="1:14" ht="20.25" customHeight="1">
      <c r="A202" s="106">
        <v>202</v>
      </c>
      <c r="B202" s="169"/>
      <c r="C202" s="314">
        <v>1129</v>
      </c>
      <c r="D202" s="307" t="s">
        <v>89</v>
      </c>
      <c r="E202" s="57"/>
      <c r="F202" s="57"/>
      <c r="G202" s="57"/>
      <c r="H202" s="57"/>
      <c r="I202" s="59">
        <f t="shared" ca="1" si="19"/>
        <v>0</v>
      </c>
      <c r="J202" s="59">
        <f t="shared" ca="1" si="19"/>
        <v>0</v>
      </c>
      <c r="K202" s="4"/>
      <c r="L202" s="4"/>
      <c r="M202" s="4"/>
      <c r="N202" s="4"/>
    </row>
    <row r="203" spans="1:14" ht="27.75" customHeight="1">
      <c r="A203" s="106"/>
      <c r="B203" s="4"/>
      <c r="C203" s="311"/>
      <c r="D203" s="13" t="s">
        <v>114</v>
      </c>
      <c r="E203" s="4"/>
      <c r="F203" s="4"/>
      <c r="G203" s="4"/>
      <c r="H203" s="4"/>
      <c r="I203" s="4"/>
      <c r="J203" s="4"/>
      <c r="K203" s="4"/>
      <c r="L203" s="4"/>
      <c r="M203" s="4"/>
      <c r="N203" s="4"/>
    </row>
    <row r="204" spans="1:14" ht="20.25" customHeight="1">
      <c r="A204" s="106">
        <v>204</v>
      </c>
      <c r="B204" s="169"/>
      <c r="C204" s="314">
        <v>1131</v>
      </c>
      <c r="D204" s="59" t="s">
        <v>91</v>
      </c>
      <c r="E204" s="59">
        <f t="shared" ref="E204:H208" ca="1" si="20">E754</f>
        <v>0</v>
      </c>
      <c r="F204" s="59">
        <f t="shared" ca="1" si="20"/>
        <v>0</v>
      </c>
      <c r="G204" s="59">
        <f t="shared" ca="1" si="20"/>
        <v>0</v>
      </c>
      <c r="H204" s="59">
        <f t="shared" ca="1" si="20"/>
        <v>0</v>
      </c>
      <c r="I204" s="57"/>
      <c r="J204" s="59">
        <f ca="1">J754</f>
        <v>0</v>
      </c>
      <c r="K204" s="4"/>
      <c r="L204" s="4"/>
      <c r="M204" s="4"/>
      <c r="N204" s="4"/>
    </row>
    <row r="205" spans="1:14" ht="20.25" customHeight="1">
      <c r="A205" s="106">
        <v>205</v>
      </c>
      <c r="B205" s="169"/>
      <c r="C205" s="314">
        <v>1134</v>
      </c>
      <c r="D205" s="59" t="s">
        <v>86</v>
      </c>
      <c r="E205" s="59">
        <f t="shared" ca="1" si="20"/>
        <v>0</v>
      </c>
      <c r="F205" s="59">
        <f t="shared" ca="1" si="20"/>
        <v>0</v>
      </c>
      <c r="G205" s="59">
        <f t="shared" ca="1" si="20"/>
        <v>0</v>
      </c>
      <c r="H205" s="59">
        <f t="shared" ca="1" si="20"/>
        <v>0</v>
      </c>
      <c r="I205" s="57"/>
      <c r="J205" s="59">
        <f ca="1">J755</f>
        <v>0</v>
      </c>
      <c r="K205" s="4"/>
      <c r="L205" s="4"/>
      <c r="M205" s="4"/>
      <c r="N205" s="4"/>
    </row>
    <row r="206" spans="1:14" ht="20.25" customHeight="1">
      <c r="A206" s="106">
        <v>206</v>
      </c>
      <c r="B206" s="169"/>
      <c r="C206" s="314">
        <v>1135</v>
      </c>
      <c r="D206" s="59" t="s">
        <v>87</v>
      </c>
      <c r="E206" s="59">
        <f t="shared" ca="1" si="20"/>
        <v>0</v>
      </c>
      <c r="F206" s="59">
        <f t="shared" ca="1" si="20"/>
        <v>0</v>
      </c>
      <c r="G206" s="59">
        <f t="shared" ca="1" si="20"/>
        <v>0</v>
      </c>
      <c r="H206" s="59">
        <f t="shared" ca="1" si="20"/>
        <v>0</v>
      </c>
      <c r="I206" s="57"/>
      <c r="J206" s="59">
        <f ca="1">J756</f>
        <v>0</v>
      </c>
      <c r="K206" s="4"/>
      <c r="L206" s="4"/>
      <c r="M206" s="4"/>
      <c r="N206" s="4"/>
    </row>
    <row r="207" spans="1:14" ht="20.25" customHeight="1">
      <c r="A207" s="106">
        <v>207</v>
      </c>
      <c r="B207" s="169"/>
      <c r="C207" s="314">
        <v>1136</v>
      </c>
      <c r="D207" s="59" t="s">
        <v>88</v>
      </c>
      <c r="E207" s="59">
        <f t="shared" ca="1" si="20"/>
        <v>0</v>
      </c>
      <c r="F207" s="59">
        <f t="shared" ca="1" si="20"/>
        <v>0</v>
      </c>
      <c r="G207" s="59">
        <f t="shared" ca="1" si="20"/>
        <v>0</v>
      </c>
      <c r="H207" s="59">
        <f t="shared" ca="1" si="20"/>
        <v>0</v>
      </c>
      <c r="I207" s="57"/>
      <c r="J207" s="59">
        <f ca="1">J757</f>
        <v>0</v>
      </c>
      <c r="K207" s="4"/>
      <c r="L207" s="4"/>
      <c r="M207" s="4"/>
      <c r="N207" s="4"/>
    </row>
    <row r="208" spans="1:14" ht="20.25" customHeight="1">
      <c r="A208" s="106">
        <v>208</v>
      </c>
      <c r="B208" s="169"/>
      <c r="C208" s="314">
        <v>1139</v>
      </c>
      <c r="D208" s="307" t="s">
        <v>89</v>
      </c>
      <c r="E208" s="59">
        <f t="shared" ca="1" si="20"/>
        <v>0</v>
      </c>
      <c r="F208" s="59">
        <f t="shared" ca="1" si="20"/>
        <v>0</v>
      </c>
      <c r="G208" s="59">
        <f t="shared" ca="1" si="20"/>
        <v>0</v>
      </c>
      <c r="H208" s="59">
        <f t="shared" ca="1" si="20"/>
        <v>0</v>
      </c>
      <c r="I208" s="57"/>
      <c r="J208" s="59">
        <f ca="1">J758</f>
        <v>0</v>
      </c>
      <c r="K208" s="4"/>
      <c r="L208" s="4"/>
      <c r="M208" s="4"/>
      <c r="N208" s="4"/>
    </row>
    <row r="209" spans="1:14" ht="27.75" customHeight="1">
      <c r="A209" s="106"/>
      <c r="B209" s="4"/>
      <c r="C209" s="311"/>
      <c r="D209" s="13" t="s">
        <v>115</v>
      </c>
      <c r="E209" s="4"/>
      <c r="F209" s="4"/>
      <c r="G209" s="4"/>
      <c r="H209" s="4"/>
      <c r="I209" s="4"/>
      <c r="J209" s="4"/>
      <c r="K209" s="4"/>
      <c r="L209" s="4"/>
      <c r="M209" s="4"/>
      <c r="N209" s="4"/>
    </row>
    <row r="210" spans="1:14" ht="20.25" customHeight="1">
      <c r="A210" s="106">
        <v>210</v>
      </c>
      <c r="B210" s="169"/>
      <c r="C210" s="314">
        <v>1151</v>
      </c>
      <c r="D210" s="59" t="s">
        <v>91</v>
      </c>
      <c r="E210" s="59">
        <f ca="1">E760</f>
        <v>0</v>
      </c>
      <c r="F210" s="59">
        <f ca="1">F760</f>
        <v>0</v>
      </c>
      <c r="G210" s="59">
        <f ca="1">G760</f>
        <v>0</v>
      </c>
      <c r="H210" s="59">
        <f ca="1">H760</f>
        <v>0</v>
      </c>
      <c r="I210" s="57"/>
      <c r="J210" s="59">
        <f ca="1">J760</f>
        <v>0</v>
      </c>
      <c r="K210" s="4"/>
      <c r="L210" s="4"/>
      <c r="M210" s="4"/>
      <c r="N210" s="4"/>
    </row>
    <row r="211" spans="1:14" ht="27.75" customHeight="1">
      <c r="A211" s="106"/>
      <c r="B211" s="4"/>
      <c r="C211" s="311"/>
      <c r="D211" s="13" t="s">
        <v>116</v>
      </c>
      <c r="E211" s="4"/>
      <c r="F211" s="4"/>
      <c r="G211" s="4"/>
      <c r="H211" s="4"/>
      <c r="I211" s="4"/>
      <c r="J211" s="4"/>
      <c r="K211" s="4"/>
      <c r="L211" s="4"/>
      <c r="M211" s="4"/>
      <c r="N211" s="4"/>
    </row>
    <row r="212" spans="1:14" ht="20.25" customHeight="1">
      <c r="A212" s="106">
        <v>212</v>
      </c>
      <c r="B212" s="169"/>
      <c r="C212" s="314">
        <v>1171</v>
      </c>
      <c r="D212" s="59" t="s">
        <v>91</v>
      </c>
      <c r="E212" s="59">
        <f t="shared" ref="E212:H216" ca="1" si="21">E762</f>
        <v>0</v>
      </c>
      <c r="F212" s="59">
        <f t="shared" ca="1" si="21"/>
        <v>0</v>
      </c>
      <c r="G212" s="59">
        <f t="shared" ca="1" si="21"/>
        <v>0</v>
      </c>
      <c r="H212" s="59">
        <f t="shared" ca="1" si="21"/>
        <v>0</v>
      </c>
      <c r="I212" s="57"/>
      <c r="J212" s="59">
        <f ca="1">J762</f>
        <v>0</v>
      </c>
      <c r="K212" s="4"/>
      <c r="L212" s="4"/>
      <c r="M212" s="4"/>
      <c r="N212" s="4"/>
    </row>
    <row r="213" spans="1:14" ht="20.25" customHeight="1">
      <c r="A213" s="106">
        <v>213</v>
      </c>
      <c r="B213" s="169"/>
      <c r="C213" s="314">
        <v>1173</v>
      </c>
      <c r="D213" s="59" t="s">
        <v>85</v>
      </c>
      <c r="E213" s="59">
        <f t="shared" ca="1" si="21"/>
        <v>0</v>
      </c>
      <c r="F213" s="59">
        <f t="shared" ca="1" si="21"/>
        <v>0</v>
      </c>
      <c r="G213" s="59">
        <f t="shared" ca="1" si="21"/>
        <v>0</v>
      </c>
      <c r="H213" s="59">
        <f t="shared" ca="1" si="21"/>
        <v>0</v>
      </c>
      <c r="I213" s="57"/>
      <c r="J213" s="59">
        <f ca="1">J763</f>
        <v>0</v>
      </c>
      <c r="K213" s="4"/>
      <c r="L213" s="4"/>
      <c r="M213" s="4"/>
      <c r="N213" s="4"/>
    </row>
    <row r="214" spans="1:14" ht="20.25" customHeight="1">
      <c r="A214" s="106">
        <v>214</v>
      </c>
      <c r="B214" s="169"/>
      <c r="C214" s="314">
        <v>1175</v>
      </c>
      <c r="D214" s="59" t="s">
        <v>87</v>
      </c>
      <c r="E214" s="59">
        <f t="shared" ca="1" si="21"/>
        <v>0</v>
      </c>
      <c r="F214" s="59">
        <f t="shared" ca="1" si="21"/>
        <v>0</v>
      </c>
      <c r="G214" s="59">
        <f t="shared" ca="1" si="21"/>
        <v>0</v>
      </c>
      <c r="H214" s="59">
        <f t="shared" ca="1" si="21"/>
        <v>0</v>
      </c>
      <c r="I214" s="57"/>
      <c r="J214" s="59">
        <f ca="1">J764</f>
        <v>0</v>
      </c>
      <c r="K214" s="4"/>
      <c r="L214" s="4"/>
      <c r="M214" s="4"/>
      <c r="N214" s="4"/>
    </row>
    <row r="215" spans="1:14" ht="20.25" customHeight="1">
      <c r="A215" s="106">
        <v>215</v>
      </c>
      <c r="B215" s="169"/>
      <c r="C215" s="314">
        <v>1176</v>
      </c>
      <c r="D215" s="59" t="s">
        <v>88</v>
      </c>
      <c r="E215" s="59">
        <f t="shared" ca="1" si="21"/>
        <v>0</v>
      </c>
      <c r="F215" s="59">
        <f t="shared" ca="1" si="21"/>
        <v>0</v>
      </c>
      <c r="G215" s="59">
        <f t="shared" ca="1" si="21"/>
        <v>0</v>
      </c>
      <c r="H215" s="59">
        <f t="shared" ca="1" si="21"/>
        <v>0</v>
      </c>
      <c r="I215" s="57"/>
      <c r="J215" s="59">
        <f ca="1">J765</f>
        <v>0</v>
      </c>
      <c r="K215" s="4"/>
      <c r="L215" s="4"/>
      <c r="M215" s="4"/>
      <c r="N215" s="4"/>
    </row>
    <row r="216" spans="1:14" ht="20.25" customHeight="1">
      <c r="A216" s="106">
        <v>216</v>
      </c>
      <c r="B216" s="169"/>
      <c r="C216" s="314">
        <v>1179</v>
      </c>
      <c r="D216" s="307" t="s">
        <v>89</v>
      </c>
      <c r="E216" s="59">
        <f t="shared" ca="1" si="21"/>
        <v>0</v>
      </c>
      <c r="F216" s="59">
        <f t="shared" ca="1" si="21"/>
        <v>0</v>
      </c>
      <c r="G216" s="59">
        <f t="shared" ca="1" si="21"/>
        <v>0</v>
      </c>
      <c r="H216" s="59">
        <f t="shared" ca="1" si="21"/>
        <v>0</v>
      </c>
      <c r="I216" s="57"/>
      <c r="J216" s="59">
        <f ca="1">J766</f>
        <v>0</v>
      </c>
      <c r="K216" s="4"/>
      <c r="L216" s="4"/>
      <c r="M216" s="4"/>
      <c r="N216" s="4"/>
    </row>
    <row r="217" spans="1:14" ht="27.75" customHeight="1">
      <c r="A217" s="106"/>
      <c r="B217" s="4"/>
      <c r="C217" s="315"/>
      <c r="D217" s="13" t="s">
        <v>117</v>
      </c>
      <c r="E217" s="4"/>
      <c r="F217" s="4"/>
      <c r="G217" s="4"/>
      <c r="H217" s="4"/>
      <c r="I217" s="4"/>
      <c r="J217" s="4"/>
      <c r="K217" s="4"/>
      <c r="L217" s="4"/>
      <c r="M217" s="4"/>
      <c r="N217" s="4"/>
    </row>
    <row r="218" spans="1:14" ht="20.25" customHeight="1">
      <c r="A218" s="106">
        <v>218</v>
      </c>
      <c r="B218" s="4"/>
      <c r="C218" s="314">
        <v>1194</v>
      </c>
      <c r="D218" s="59" t="s">
        <v>86</v>
      </c>
      <c r="E218" s="59">
        <f t="shared" ref="E218:H221" ca="1" si="22">E768</f>
        <v>21495</v>
      </c>
      <c r="F218" s="59">
        <f t="shared" ca="1" si="22"/>
        <v>5000</v>
      </c>
      <c r="G218" s="59">
        <f t="shared" ca="1" si="22"/>
        <v>0</v>
      </c>
      <c r="H218" s="59">
        <f t="shared" ca="1" si="22"/>
        <v>0</v>
      </c>
      <c r="I218" s="57"/>
      <c r="J218" s="59">
        <f ca="1">J768</f>
        <v>26495</v>
      </c>
      <c r="K218" s="4"/>
      <c r="L218" s="4"/>
      <c r="M218" s="4"/>
      <c r="N218" s="4"/>
    </row>
    <row r="219" spans="1:14" ht="20.25" customHeight="1">
      <c r="A219" s="106">
        <v>219</v>
      </c>
      <c r="B219" s="4"/>
      <c r="C219" s="314">
        <v>1195</v>
      </c>
      <c r="D219" s="59" t="s">
        <v>87</v>
      </c>
      <c r="E219" s="59">
        <f t="shared" ca="1" si="22"/>
        <v>0</v>
      </c>
      <c r="F219" s="59">
        <f t="shared" ca="1" si="22"/>
        <v>0</v>
      </c>
      <c r="G219" s="59">
        <f t="shared" ca="1" si="22"/>
        <v>0</v>
      </c>
      <c r="H219" s="59">
        <f t="shared" ca="1" si="22"/>
        <v>0</v>
      </c>
      <c r="I219" s="57"/>
      <c r="J219" s="59">
        <f ca="1">J769</f>
        <v>0</v>
      </c>
      <c r="K219" s="4"/>
      <c r="L219" s="4"/>
      <c r="M219" s="4"/>
      <c r="N219" s="4"/>
    </row>
    <row r="220" spans="1:14" ht="20.25" customHeight="1">
      <c r="A220" s="106">
        <v>220</v>
      </c>
      <c r="B220" s="4"/>
      <c r="C220" s="314">
        <v>1196</v>
      </c>
      <c r="D220" s="59" t="s">
        <v>88</v>
      </c>
      <c r="E220" s="59">
        <f t="shared" ca="1" si="22"/>
        <v>0</v>
      </c>
      <c r="F220" s="59">
        <f t="shared" ca="1" si="22"/>
        <v>0</v>
      </c>
      <c r="G220" s="59">
        <f t="shared" ca="1" si="22"/>
        <v>0</v>
      </c>
      <c r="H220" s="59">
        <f t="shared" ca="1" si="22"/>
        <v>0</v>
      </c>
      <c r="I220" s="57"/>
      <c r="J220" s="59">
        <f ca="1">J770</f>
        <v>0</v>
      </c>
      <c r="K220" s="4"/>
      <c r="L220" s="4"/>
      <c r="M220" s="4"/>
      <c r="N220" s="4"/>
    </row>
    <row r="221" spans="1:14" ht="20.25" customHeight="1">
      <c r="A221" s="106">
        <v>221</v>
      </c>
      <c r="B221" s="4"/>
      <c r="C221" s="314">
        <v>1199</v>
      </c>
      <c r="D221" s="307" t="s">
        <v>89</v>
      </c>
      <c r="E221" s="59">
        <f t="shared" ca="1" si="22"/>
        <v>21495</v>
      </c>
      <c r="F221" s="59">
        <f t="shared" ca="1" si="22"/>
        <v>5000</v>
      </c>
      <c r="G221" s="59">
        <f t="shared" ca="1" si="22"/>
        <v>0</v>
      </c>
      <c r="H221" s="59">
        <f t="shared" ca="1" si="22"/>
        <v>0</v>
      </c>
      <c r="I221" s="57"/>
      <c r="J221" s="59">
        <f ca="1">J771</f>
        <v>26495</v>
      </c>
      <c r="K221" s="4"/>
      <c r="L221" s="4"/>
      <c r="M221" s="4"/>
      <c r="N221" s="4"/>
    </row>
    <row r="222" spans="1:14" ht="24.75" customHeight="1">
      <c r="A222" s="106"/>
      <c r="B222" s="4"/>
      <c r="C222" s="312"/>
      <c r="D222" s="13" t="s">
        <v>118</v>
      </c>
      <c r="E222" s="4"/>
      <c r="F222" s="4"/>
      <c r="G222" s="4"/>
      <c r="H222" s="4"/>
      <c r="I222" s="4"/>
      <c r="J222" s="4"/>
      <c r="K222" s="4"/>
      <c r="L222" s="4"/>
      <c r="M222" s="4"/>
      <c r="N222" s="4"/>
    </row>
    <row r="223" spans="1:14" ht="20.25" customHeight="1">
      <c r="A223" s="106">
        <v>223</v>
      </c>
      <c r="B223" s="169"/>
      <c r="C223" s="314">
        <v>1205</v>
      </c>
      <c r="D223" s="59" t="s">
        <v>87</v>
      </c>
      <c r="E223" s="59">
        <f ca="1">E773</f>
        <v>4281</v>
      </c>
      <c r="F223" s="59">
        <f ca="1">F773</f>
        <v>0</v>
      </c>
      <c r="G223" s="59">
        <f ca="1">G773</f>
        <v>0</v>
      </c>
      <c r="H223" s="59">
        <f ca="1">H773</f>
        <v>0</v>
      </c>
      <c r="I223" s="57"/>
      <c r="J223" s="59">
        <f ca="1">J773</f>
        <v>4281</v>
      </c>
      <c r="K223" s="4"/>
      <c r="L223" s="4"/>
      <c r="M223" s="4"/>
      <c r="N223" s="4"/>
    </row>
    <row r="224" spans="1:14" ht="27.75" customHeight="1">
      <c r="A224" s="106"/>
      <c r="B224" s="4"/>
      <c r="C224" s="311"/>
      <c r="D224" s="13" t="s">
        <v>119</v>
      </c>
      <c r="E224" s="4"/>
      <c r="F224" s="4"/>
      <c r="G224" s="4"/>
      <c r="H224" s="4"/>
      <c r="I224" s="4"/>
      <c r="J224" s="4"/>
      <c r="K224" s="4"/>
      <c r="L224" s="4"/>
      <c r="M224" s="4"/>
      <c r="N224" s="4"/>
    </row>
    <row r="225" spans="1:14" ht="20.25" customHeight="1">
      <c r="A225" s="106">
        <v>225</v>
      </c>
      <c r="B225" s="169"/>
      <c r="C225" s="314">
        <v>1224</v>
      </c>
      <c r="D225" s="59" t="s">
        <v>86</v>
      </c>
      <c r="E225" s="59">
        <f t="shared" ref="E225:H228" ca="1" si="23">E775</f>
        <v>0</v>
      </c>
      <c r="F225" s="59">
        <f t="shared" ca="1" si="23"/>
        <v>0</v>
      </c>
      <c r="G225" s="59">
        <f t="shared" ca="1" si="23"/>
        <v>0</v>
      </c>
      <c r="H225" s="59">
        <f t="shared" ca="1" si="23"/>
        <v>0</v>
      </c>
      <c r="I225" s="57"/>
      <c r="J225" s="59">
        <f ca="1">J775</f>
        <v>0</v>
      </c>
      <c r="K225" s="4"/>
      <c r="L225" s="4"/>
      <c r="M225" s="4"/>
      <c r="N225" s="4"/>
    </row>
    <row r="226" spans="1:14" ht="20.25" customHeight="1">
      <c r="A226" s="106">
        <v>226</v>
      </c>
      <c r="B226" s="169"/>
      <c r="C226" s="314">
        <v>1225</v>
      </c>
      <c r="D226" s="59" t="s">
        <v>87</v>
      </c>
      <c r="E226" s="59">
        <f t="shared" ca="1" si="23"/>
        <v>68931.12</v>
      </c>
      <c r="F226" s="59">
        <f t="shared" ca="1" si="23"/>
        <v>12346</v>
      </c>
      <c r="G226" s="59">
        <f t="shared" ca="1" si="23"/>
        <v>0</v>
      </c>
      <c r="H226" s="59">
        <f t="shared" ca="1" si="23"/>
        <v>0</v>
      </c>
      <c r="I226" s="57"/>
      <c r="J226" s="59">
        <f ca="1">J776</f>
        <v>81277</v>
      </c>
      <c r="K226" s="4"/>
      <c r="L226" s="4"/>
      <c r="M226" s="4"/>
      <c r="N226" s="4"/>
    </row>
    <row r="227" spans="1:14" ht="20.25" customHeight="1">
      <c r="A227" s="106">
        <v>227</v>
      </c>
      <c r="B227" s="169"/>
      <c r="C227" s="314">
        <v>1226</v>
      </c>
      <c r="D227" s="59" t="s">
        <v>88</v>
      </c>
      <c r="E227" s="59">
        <f t="shared" ca="1" si="23"/>
        <v>0</v>
      </c>
      <c r="F227" s="59">
        <f t="shared" ca="1" si="23"/>
        <v>0</v>
      </c>
      <c r="G227" s="59">
        <f t="shared" ca="1" si="23"/>
        <v>0</v>
      </c>
      <c r="H227" s="59">
        <f t="shared" ca="1" si="23"/>
        <v>0</v>
      </c>
      <c r="I227" s="57"/>
      <c r="J227" s="59">
        <f ca="1">J777</f>
        <v>0</v>
      </c>
      <c r="K227" s="4"/>
      <c r="L227" s="4"/>
      <c r="M227" s="4"/>
      <c r="N227" s="4"/>
    </row>
    <row r="228" spans="1:14" ht="20.25" customHeight="1">
      <c r="A228" s="106">
        <v>228</v>
      </c>
      <c r="B228" s="169"/>
      <c r="C228" s="314">
        <v>1229</v>
      </c>
      <c r="D228" s="307" t="s">
        <v>89</v>
      </c>
      <c r="E228" s="59">
        <f t="shared" ca="1" si="23"/>
        <v>68931</v>
      </c>
      <c r="F228" s="59">
        <f t="shared" ca="1" si="23"/>
        <v>12346</v>
      </c>
      <c r="G228" s="59">
        <f t="shared" ca="1" si="23"/>
        <v>0</v>
      </c>
      <c r="H228" s="59">
        <f t="shared" ca="1" si="23"/>
        <v>0</v>
      </c>
      <c r="I228" s="57"/>
      <c r="J228" s="59">
        <f ca="1">J778</f>
        <v>81277</v>
      </c>
      <c r="K228" s="4"/>
      <c r="L228" s="4"/>
      <c r="M228" s="4"/>
      <c r="N228" s="4"/>
    </row>
    <row r="229" spans="1:14" ht="27.75" customHeight="1">
      <c r="A229" s="106"/>
      <c r="B229" s="4"/>
      <c r="C229" s="311"/>
      <c r="D229" s="13" t="s">
        <v>120</v>
      </c>
      <c r="E229" s="4"/>
      <c r="F229" s="4"/>
      <c r="G229" s="4"/>
      <c r="H229" s="4"/>
      <c r="I229" s="4"/>
      <c r="J229" s="4"/>
      <c r="K229" s="4"/>
      <c r="L229" s="4"/>
      <c r="M229" s="4"/>
      <c r="N229" s="4"/>
    </row>
    <row r="230" spans="1:14" ht="20.25" customHeight="1">
      <c r="A230" s="106">
        <v>230</v>
      </c>
      <c r="B230" s="169"/>
      <c r="C230" s="314">
        <v>1244</v>
      </c>
      <c r="D230" s="59" t="s">
        <v>86</v>
      </c>
      <c r="E230" s="59">
        <f t="shared" ref="E230:H233" ca="1" si="24">E780</f>
        <v>0</v>
      </c>
      <c r="F230" s="59">
        <f t="shared" ca="1" si="24"/>
        <v>0</v>
      </c>
      <c r="G230" s="59">
        <f t="shared" ca="1" si="24"/>
        <v>0</v>
      </c>
      <c r="H230" s="59">
        <f t="shared" ca="1" si="24"/>
        <v>0</v>
      </c>
      <c r="I230" s="57"/>
      <c r="J230" s="59">
        <f ca="1">J780</f>
        <v>0</v>
      </c>
      <c r="K230" s="4"/>
      <c r="L230" s="4"/>
      <c r="M230" s="4"/>
      <c r="N230" s="4"/>
    </row>
    <row r="231" spans="1:14" ht="20.25" customHeight="1">
      <c r="A231" s="106">
        <v>231</v>
      </c>
      <c r="B231" s="169"/>
      <c r="C231" s="314">
        <v>1245</v>
      </c>
      <c r="D231" s="59" t="s">
        <v>87</v>
      </c>
      <c r="E231" s="59">
        <f t="shared" ca="1" si="24"/>
        <v>54469.61</v>
      </c>
      <c r="F231" s="59">
        <f t="shared" ca="1" si="24"/>
        <v>0</v>
      </c>
      <c r="G231" s="59">
        <f t="shared" ca="1" si="24"/>
        <v>0</v>
      </c>
      <c r="H231" s="59">
        <f t="shared" ca="1" si="24"/>
        <v>0</v>
      </c>
      <c r="I231" s="57"/>
      <c r="J231" s="59">
        <f ca="1">J781</f>
        <v>54470</v>
      </c>
      <c r="K231" s="4"/>
      <c r="L231" s="4"/>
      <c r="M231" s="4"/>
      <c r="N231" s="4"/>
    </row>
    <row r="232" spans="1:14" ht="20.25" customHeight="1">
      <c r="A232" s="106">
        <v>232</v>
      </c>
      <c r="B232" s="169"/>
      <c r="C232" s="314">
        <v>1246</v>
      </c>
      <c r="D232" s="59" t="s">
        <v>88</v>
      </c>
      <c r="E232" s="59">
        <f t="shared" ca="1" si="24"/>
        <v>0</v>
      </c>
      <c r="F232" s="59">
        <f t="shared" ca="1" si="24"/>
        <v>0</v>
      </c>
      <c r="G232" s="59">
        <f t="shared" ca="1" si="24"/>
        <v>0</v>
      </c>
      <c r="H232" s="59">
        <f t="shared" ca="1" si="24"/>
        <v>0</v>
      </c>
      <c r="I232" s="57"/>
      <c r="J232" s="59">
        <f ca="1">J782</f>
        <v>0</v>
      </c>
      <c r="K232" s="4"/>
      <c r="L232" s="4"/>
      <c r="M232" s="4"/>
      <c r="N232" s="4"/>
    </row>
    <row r="233" spans="1:14" ht="20.25" customHeight="1">
      <c r="A233" s="106">
        <v>233</v>
      </c>
      <c r="B233" s="169"/>
      <c r="C233" s="314">
        <v>1249</v>
      </c>
      <c r="D233" s="307" t="s">
        <v>89</v>
      </c>
      <c r="E233" s="59">
        <f t="shared" ca="1" si="24"/>
        <v>54470</v>
      </c>
      <c r="F233" s="59">
        <f t="shared" ca="1" si="24"/>
        <v>0</v>
      </c>
      <c r="G233" s="59">
        <f t="shared" ca="1" si="24"/>
        <v>0</v>
      </c>
      <c r="H233" s="59">
        <f t="shared" ca="1" si="24"/>
        <v>0</v>
      </c>
      <c r="I233" s="57"/>
      <c r="J233" s="59">
        <f ca="1">J783</f>
        <v>54470</v>
      </c>
      <c r="K233" s="4"/>
      <c r="L233" s="4"/>
      <c r="M233" s="4"/>
      <c r="N233" s="4"/>
    </row>
    <row r="234" spans="1:14" ht="27.75" customHeight="1">
      <c r="A234" s="106"/>
      <c r="B234" s="4"/>
      <c r="C234" s="311"/>
      <c r="D234" s="13" t="s">
        <v>121</v>
      </c>
      <c r="E234" s="4"/>
      <c r="F234" s="4"/>
      <c r="G234" s="4"/>
      <c r="H234" s="4"/>
      <c r="I234" s="4"/>
      <c r="J234" s="4"/>
      <c r="K234" s="4"/>
      <c r="L234" s="4"/>
      <c r="M234" s="4"/>
      <c r="N234" s="4"/>
    </row>
    <row r="235" spans="1:14" ht="20.25" customHeight="1">
      <c r="A235" s="106">
        <v>235</v>
      </c>
      <c r="B235" s="169"/>
      <c r="C235" s="314">
        <v>1265</v>
      </c>
      <c r="D235" s="59" t="s">
        <v>87</v>
      </c>
      <c r="E235" s="59">
        <f ca="1">E785</f>
        <v>60898.41</v>
      </c>
      <c r="F235" s="59">
        <f ca="1">F785</f>
        <v>0</v>
      </c>
      <c r="G235" s="59">
        <f ca="1">G785</f>
        <v>0</v>
      </c>
      <c r="H235" s="59">
        <f ca="1">H785</f>
        <v>0</v>
      </c>
      <c r="I235" s="57"/>
      <c r="J235" s="59">
        <f ca="1">J785</f>
        <v>60898</v>
      </c>
      <c r="K235" s="4"/>
      <c r="L235" s="4"/>
      <c r="M235" s="4"/>
      <c r="N235" s="4"/>
    </row>
    <row r="236" spans="1:14" ht="27.75" customHeight="1">
      <c r="A236" s="106"/>
      <c r="B236" s="4"/>
      <c r="C236" s="311"/>
      <c r="D236" s="13" t="s">
        <v>122</v>
      </c>
      <c r="E236" s="4"/>
      <c r="F236" s="4"/>
      <c r="G236" s="4"/>
      <c r="H236" s="4"/>
      <c r="I236" s="4"/>
      <c r="J236" s="4"/>
      <c r="K236" s="4"/>
      <c r="L236" s="4"/>
      <c r="M236" s="4"/>
      <c r="N236" s="4"/>
    </row>
    <row r="237" spans="1:14" ht="20.25" customHeight="1">
      <c r="A237" s="106">
        <v>237</v>
      </c>
      <c r="B237" s="169"/>
      <c r="C237" s="314">
        <v>1283</v>
      </c>
      <c r="D237" s="59" t="s">
        <v>85</v>
      </c>
      <c r="E237" s="59">
        <f t="shared" ref="E237:H241" ca="1" si="25">E787</f>
        <v>0</v>
      </c>
      <c r="F237" s="59">
        <f t="shared" ca="1" si="25"/>
        <v>0</v>
      </c>
      <c r="G237" s="59">
        <f t="shared" ca="1" si="25"/>
        <v>0</v>
      </c>
      <c r="H237" s="59">
        <f t="shared" ca="1" si="25"/>
        <v>0</v>
      </c>
      <c r="I237" s="57"/>
      <c r="J237" s="59">
        <f ca="1">J787</f>
        <v>0</v>
      </c>
      <c r="K237" s="4"/>
      <c r="L237" s="4"/>
      <c r="M237" s="4"/>
      <c r="N237" s="4"/>
    </row>
    <row r="238" spans="1:14" ht="20.25" customHeight="1">
      <c r="A238" s="106">
        <v>238</v>
      </c>
      <c r="B238" s="169"/>
      <c r="C238" s="314">
        <v>1284</v>
      </c>
      <c r="D238" s="59" t="s">
        <v>86</v>
      </c>
      <c r="E238" s="59">
        <f t="shared" ca="1" si="25"/>
        <v>8205</v>
      </c>
      <c r="F238" s="59">
        <f t="shared" ca="1" si="25"/>
        <v>0</v>
      </c>
      <c r="G238" s="59">
        <f t="shared" ca="1" si="25"/>
        <v>0</v>
      </c>
      <c r="H238" s="59">
        <f t="shared" ca="1" si="25"/>
        <v>0</v>
      </c>
      <c r="I238" s="57"/>
      <c r="J238" s="59">
        <f ca="1">J788</f>
        <v>8205</v>
      </c>
      <c r="K238" s="4"/>
      <c r="L238" s="4"/>
      <c r="M238" s="4"/>
      <c r="N238" s="4"/>
    </row>
    <row r="239" spans="1:14" ht="20.25" customHeight="1">
      <c r="A239" s="106">
        <v>239</v>
      </c>
      <c r="B239" s="169"/>
      <c r="C239" s="314">
        <v>1285</v>
      </c>
      <c r="D239" s="59" t="s">
        <v>87</v>
      </c>
      <c r="E239" s="59">
        <f t="shared" ca="1" si="25"/>
        <v>8275.27</v>
      </c>
      <c r="F239" s="59">
        <f t="shared" ca="1" si="25"/>
        <v>0</v>
      </c>
      <c r="G239" s="59">
        <f t="shared" ca="1" si="25"/>
        <v>0</v>
      </c>
      <c r="H239" s="59">
        <f t="shared" ca="1" si="25"/>
        <v>0</v>
      </c>
      <c r="I239" s="57"/>
      <c r="J239" s="59">
        <f ca="1">J789</f>
        <v>8275</v>
      </c>
      <c r="K239" s="4"/>
      <c r="L239" s="4"/>
      <c r="M239" s="4"/>
      <c r="N239" s="4"/>
    </row>
    <row r="240" spans="1:14" ht="20.25" customHeight="1">
      <c r="A240" s="106">
        <v>240</v>
      </c>
      <c r="B240" s="169"/>
      <c r="C240" s="314">
        <v>1286</v>
      </c>
      <c r="D240" s="59" t="s">
        <v>88</v>
      </c>
      <c r="E240" s="59">
        <f t="shared" ca="1" si="25"/>
        <v>4365</v>
      </c>
      <c r="F240" s="59">
        <f t="shared" ca="1" si="25"/>
        <v>0</v>
      </c>
      <c r="G240" s="59">
        <f t="shared" ca="1" si="25"/>
        <v>0</v>
      </c>
      <c r="H240" s="59">
        <f t="shared" ca="1" si="25"/>
        <v>0</v>
      </c>
      <c r="I240" s="57"/>
      <c r="J240" s="59">
        <f ca="1">J790</f>
        <v>4365</v>
      </c>
      <c r="K240" s="4"/>
      <c r="L240" s="4"/>
      <c r="M240" s="4"/>
      <c r="N240" s="4"/>
    </row>
    <row r="241" spans="1:14" ht="20.25" customHeight="1">
      <c r="A241" s="106">
        <v>241</v>
      </c>
      <c r="B241" s="169"/>
      <c r="C241" s="314">
        <v>1289</v>
      </c>
      <c r="D241" s="307" t="s">
        <v>89</v>
      </c>
      <c r="E241" s="59">
        <f t="shared" ca="1" si="25"/>
        <v>20845</v>
      </c>
      <c r="F241" s="59">
        <f t="shared" ca="1" si="25"/>
        <v>0</v>
      </c>
      <c r="G241" s="59">
        <f t="shared" ca="1" si="25"/>
        <v>0</v>
      </c>
      <c r="H241" s="59">
        <f t="shared" ca="1" si="25"/>
        <v>0</v>
      </c>
      <c r="I241" s="57"/>
      <c r="J241" s="59">
        <f ca="1">J791</f>
        <v>20845</v>
      </c>
      <c r="K241" s="4"/>
      <c r="L241" s="4"/>
      <c r="M241" s="4"/>
      <c r="N241" s="4"/>
    </row>
    <row r="242" spans="1:14" ht="27.75" customHeight="1">
      <c r="A242" s="106"/>
      <c r="B242" s="4"/>
      <c r="C242" s="311"/>
      <c r="D242" s="13" t="s">
        <v>123</v>
      </c>
      <c r="E242" s="4"/>
      <c r="F242" s="4"/>
      <c r="G242" s="4"/>
      <c r="H242" s="4"/>
      <c r="I242" s="4"/>
      <c r="J242" s="4"/>
      <c r="K242" s="4"/>
      <c r="L242" s="4"/>
      <c r="M242" s="4"/>
      <c r="N242" s="4"/>
    </row>
    <row r="243" spans="1:14" ht="20.25" customHeight="1">
      <c r="A243" s="106">
        <v>243</v>
      </c>
      <c r="B243" s="169"/>
      <c r="C243" s="314">
        <v>1304</v>
      </c>
      <c r="D243" s="59" t="s">
        <v>86</v>
      </c>
      <c r="E243" s="59">
        <f t="shared" ref="E243:H246" ca="1" si="26">E793</f>
        <v>50357.68</v>
      </c>
      <c r="F243" s="59">
        <f t="shared" ca="1" si="26"/>
        <v>0</v>
      </c>
      <c r="G243" s="59">
        <f t="shared" ca="1" si="26"/>
        <v>0</v>
      </c>
      <c r="H243" s="59">
        <f t="shared" ca="1" si="26"/>
        <v>0</v>
      </c>
      <c r="I243" s="57"/>
      <c r="J243" s="59">
        <f ca="1">J793</f>
        <v>50358</v>
      </c>
      <c r="K243" s="4"/>
      <c r="L243" s="4"/>
      <c r="M243" s="4"/>
      <c r="N243" s="4"/>
    </row>
    <row r="244" spans="1:14" ht="20.25" customHeight="1">
      <c r="A244" s="106">
        <v>244</v>
      </c>
      <c r="B244" s="169"/>
      <c r="C244" s="314">
        <v>1305</v>
      </c>
      <c r="D244" s="59" t="s">
        <v>87</v>
      </c>
      <c r="E244" s="59">
        <f t="shared" ca="1" si="26"/>
        <v>10363.799999999999</v>
      </c>
      <c r="F244" s="59">
        <f t="shared" ca="1" si="26"/>
        <v>0</v>
      </c>
      <c r="G244" s="59">
        <f t="shared" ca="1" si="26"/>
        <v>0</v>
      </c>
      <c r="H244" s="59">
        <f t="shared" ca="1" si="26"/>
        <v>0</v>
      </c>
      <c r="I244" s="57"/>
      <c r="J244" s="59">
        <f ca="1">J794</f>
        <v>10364</v>
      </c>
      <c r="K244" s="4"/>
      <c r="L244" s="4"/>
      <c r="M244" s="4"/>
      <c r="N244" s="4"/>
    </row>
    <row r="245" spans="1:14" ht="20.25" customHeight="1">
      <c r="A245" s="106">
        <v>245</v>
      </c>
      <c r="B245" s="169"/>
      <c r="C245" s="314">
        <v>1306</v>
      </c>
      <c r="D245" s="59" t="s">
        <v>88</v>
      </c>
      <c r="E245" s="59">
        <f t="shared" ca="1" si="26"/>
        <v>0</v>
      </c>
      <c r="F245" s="59">
        <f t="shared" ca="1" si="26"/>
        <v>0</v>
      </c>
      <c r="G245" s="59">
        <f t="shared" ca="1" si="26"/>
        <v>0</v>
      </c>
      <c r="H245" s="59">
        <f t="shared" ca="1" si="26"/>
        <v>0</v>
      </c>
      <c r="I245" s="57"/>
      <c r="J245" s="59">
        <f ca="1">J795</f>
        <v>0</v>
      </c>
      <c r="K245" s="4"/>
      <c r="L245" s="4"/>
      <c r="M245" s="4"/>
      <c r="N245" s="4"/>
    </row>
    <row r="246" spans="1:14" ht="20.25" customHeight="1">
      <c r="A246" s="106">
        <v>246</v>
      </c>
      <c r="B246" s="169"/>
      <c r="C246" s="314">
        <v>1309</v>
      </c>
      <c r="D246" s="307" t="s">
        <v>89</v>
      </c>
      <c r="E246" s="59">
        <f t="shared" ca="1" si="26"/>
        <v>60721</v>
      </c>
      <c r="F246" s="59">
        <f t="shared" ca="1" si="26"/>
        <v>0</v>
      </c>
      <c r="G246" s="59">
        <f t="shared" ca="1" si="26"/>
        <v>0</v>
      </c>
      <c r="H246" s="59">
        <f t="shared" ca="1" si="26"/>
        <v>0</v>
      </c>
      <c r="I246" s="57"/>
      <c r="J246" s="59">
        <f ca="1">J796</f>
        <v>60721</v>
      </c>
      <c r="K246" s="4"/>
      <c r="L246" s="4"/>
      <c r="M246" s="4"/>
      <c r="N246" s="4"/>
    </row>
    <row r="247" spans="1:14" ht="27.75" customHeight="1">
      <c r="A247" s="106"/>
      <c r="B247" s="4"/>
      <c r="C247" s="311"/>
      <c r="D247" s="13" t="s">
        <v>124</v>
      </c>
      <c r="E247" s="4"/>
      <c r="F247" s="4"/>
      <c r="G247" s="4"/>
      <c r="H247" s="4"/>
      <c r="I247" s="4"/>
      <c r="J247" s="4"/>
      <c r="K247" s="4"/>
      <c r="L247" s="4"/>
      <c r="M247" s="4"/>
      <c r="N247" s="4"/>
    </row>
    <row r="248" spans="1:14" ht="20.25" customHeight="1">
      <c r="A248" s="106">
        <v>248</v>
      </c>
      <c r="B248" s="169"/>
      <c r="C248" s="314">
        <v>1324</v>
      </c>
      <c r="D248" s="59" t="s">
        <v>86</v>
      </c>
      <c r="E248" s="59">
        <f t="shared" ref="E248:H251" ca="1" si="27">E798</f>
        <v>0</v>
      </c>
      <c r="F248" s="59">
        <f t="shared" ca="1" si="27"/>
        <v>0</v>
      </c>
      <c r="G248" s="59">
        <f t="shared" ca="1" si="27"/>
        <v>0</v>
      </c>
      <c r="H248" s="59">
        <f t="shared" ca="1" si="27"/>
        <v>0</v>
      </c>
      <c r="I248" s="57"/>
      <c r="J248" s="59">
        <f ca="1">J798</f>
        <v>0</v>
      </c>
      <c r="K248" s="4"/>
      <c r="L248" s="4"/>
      <c r="M248" s="4"/>
      <c r="N248" s="4"/>
    </row>
    <row r="249" spans="1:14" ht="20.25" customHeight="1">
      <c r="A249" s="106">
        <v>249</v>
      </c>
      <c r="B249" s="169"/>
      <c r="C249" s="314">
        <v>1325</v>
      </c>
      <c r="D249" s="59" t="s">
        <v>87</v>
      </c>
      <c r="E249" s="59">
        <f t="shared" ca="1" si="27"/>
        <v>0</v>
      </c>
      <c r="F249" s="59">
        <f t="shared" ca="1" si="27"/>
        <v>0</v>
      </c>
      <c r="G249" s="59">
        <f t="shared" ca="1" si="27"/>
        <v>0</v>
      </c>
      <c r="H249" s="59">
        <f t="shared" ca="1" si="27"/>
        <v>0</v>
      </c>
      <c r="I249" s="57"/>
      <c r="J249" s="59">
        <f ca="1">J799</f>
        <v>0</v>
      </c>
      <c r="K249" s="4"/>
      <c r="L249" s="4"/>
      <c r="M249" s="4"/>
      <c r="N249" s="4"/>
    </row>
    <row r="250" spans="1:14" ht="20.25" customHeight="1">
      <c r="A250" s="106">
        <v>250</v>
      </c>
      <c r="B250" s="169"/>
      <c r="C250" s="314">
        <v>1326</v>
      </c>
      <c r="D250" s="59" t="s">
        <v>88</v>
      </c>
      <c r="E250" s="59">
        <f t="shared" ca="1" si="27"/>
        <v>0</v>
      </c>
      <c r="F250" s="59">
        <f t="shared" ca="1" si="27"/>
        <v>0</v>
      </c>
      <c r="G250" s="59">
        <f t="shared" ca="1" si="27"/>
        <v>0</v>
      </c>
      <c r="H250" s="59">
        <f t="shared" ca="1" si="27"/>
        <v>0</v>
      </c>
      <c r="I250" s="57"/>
      <c r="J250" s="59">
        <f ca="1">J800</f>
        <v>0</v>
      </c>
      <c r="K250" s="4"/>
      <c r="L250" s="4"/>
      <c r="M250" s="4"/>
      <c r="N250" s="4"/>
    </row>
    <row r="251" spans="1:14" ht="20.25" customHeight="1">
      <c r="A251" s="106">
        <v>251</v>
      </c>
      <c r="B251" s="169"/>
      <c r="C251" s="314">
        <v>1329</v>
      </c>
      <c r="D251" s="307" t="s">
        <v>89</v>
      </c>
      <c r="E251" s="59">
        <f t="shared" ca="1" si="27"/>
        <v>0</v>
      </c>
      <c r="F251" s="59">
        <f t="shared" ca="1" si="27"/>
        <v>0</v>
      </c>
      <c r="G251" s="59">
        <f t="shared" ca="1" si="27"/>
        <v>0</v>
      </c>
      <c r="H251" s="59">
        <f t="shared" ca="1" si="27"/>
        <v>0</v>
      </c>
      <c r="I251" s="57"/>
      <c r="J251" s="59">
        <f ca="1">J801</f>
        <v>0</v>
      </c>
      <c r="K251" s="4"/>
      <c r="L251" s="4"/>
      <c r="M251" s="4"/>
      <c r="N251" s="4"/>
    </row>
    <row r="252" spans="1:14" ht="27.75" customHeight="1">
      <c r="A252" s="106"/>
      <c r="B252" s="4"/>
      <c r="C252" s="312"/>
      <c r="D252" s="13" t="s">
        <v>125</v>
      </c>
      <c r="E252" s="4"/>
      <c r="F252" s="4"/>
      <c r="G252" s="4"/>
      <c r="H252" s="4"/>
      <c r="I252" s="4"/>
      <c r="J252" s="4"/>
      <c r="K252" s="4"/>
      <c r="L252" s="4"/>
      <c r="M252" s="4"/>
      <c r="N252" s="4"/>
    </row>
    <row r="253" spans="1:14" ht="20.25" customHeight="1">
      <c r="A253" s="106">
        <v>253</v>
      </c>
      <c r="B253" s="169"/>
      <c r="C253" s="314">
        <v>1344</v>
      </c>
      <c r="D253" s="59" t="s">
        <v>86</v>
      </c>
      <c r="E253" s="59">
        <f t="shared" ref="E253:H256" ca="1" si="28">E803</f>
        <v>2866</v>
      </c>
      <c r="F253" s="59">
        <f t="shared" ca="1" si="28"/>
        <v>0</v>
      </c>
      <c r="G253" s="59">
        <f t="shared" ca="1" si="28"/>
        <v>0</v>
      </c>
      <c r="H253" s="59">
        <f t="shared" ca="1" si="28"/>
        <v>0</v>
      </c>
      <c r="I253" s="57"/>
      <c r="J253" s="59">
        <f ca="1">J803</f>
        <v>2866</v>
      </c>
      <c r="K253" s="4"/>
      <c r="L253" s="4"/>
      <c r="M253" s="4"/>
      <c r="N253" s="4"/>
    </row>
    <row r="254" spans="1:14" ht="20.25" customHeight="1">
      <c r="A254" s="106">
        <v>254</v>
      </c>
      <c r="B254" s="169"/>
      <c r="C254" s="314">
        <v>1345</v>
      </c>
      <c r="D254" s="59" t="s">
        <v>87</v>
      </c>
      <c r="E254" s="59">
        <f t="shared" ca="1" si="28"/>
        <v>0</v>
      </c>
      <c r="F254" s="59">
        <f t="shared" ca="1" si="28"/>
        <v>0</v>
      </c>
      <c r="G254" s="59">
        <f t="shared" ca="1" si="28"/>
        <v>0</v>
      </c>
      <c r="H254" s="59">
        <f t="shared" ca="1" si="28"/>
        <v>0</v>
      </c>
      <c r="I254" s="57"/>
      <c r="J254" s="59">
        <f ca="1">J804</f>
        <v>0</v>
      </c>
      <c r="K254" s="4"/>
      <c r="L254" s="4"/>
      <c r="M254" s="4"/>
      <c r="N254" s="4"/>
    </row>
    <row r="255" spans="1:14" ht="20.25" customHeight="1">
      <c r="A255" s="106">
        <v>255</v>
      </c>
      <c r="B255" s="169"/>
      <c r="C255" s="314">
        <v>1346</v>
      </c>
      <c r="D255" s="59" t="s">
        <v>88</v>
      </c>
      <c r="E255" s="59">
        <f t="shared" ca="1" si="28"/>
        <v>0</v>
      </c>
      <c r="F255" s="59">
        <f t="shared" ca="1" si="28"/>
        <v>0</v>
      </c>
      <c r="G255" s="59">
        <f t="shared" ca="1" si="28"/>
        <v>0</v>
      </c>
      <c r="H255" s="59">
        <f t="shared" ca="1" si="28"/>
        <v>0</v>
      </c>
      <c r="I255" s="57"/>
      <c r="J255" s="59">
        <f ca="1">J805</f>
        <v>0</v>
      </c>
      <c r="K255" s="4"/>
      <c r="L255" s="4"/>
      <c r="M255" s="4"/>
      <c r="N255" s="4"/>
    </row>
    <row r="256" spans="1:14" ht="20.25" customHeight="1">
      <c r="A256" s="106">
        <v>256</v>
      </c>
      <c r="B256" s="169"/>
      <c r="C256" s="314">
        <v>1349</v>
      </c>
      <c r="D256" s="307" t="s">
        <v>89</v>
      </c>
      <c r="E256" s="59">
        <f t="shared" ca="1" si="28"/>
        <v>2866</v>
      </c>
      <c r="F256" s="59">
        <f t="shared" ca="1" si="28"/>
        <v>0</v>
      </c>
      <c r="G256" s="59">
        <f t="shared" ca="1" si="28"/>
        <v>0</v>
      </c>
      <c r="H256" s="59">
        <f t="shared" ca="1" si="28"/>
        <v>0</v>
      </c>
      <c r="I256" s="57"/>
      <c r="J256" s="59">
        <f ca="1">J806</f>
        <v>2866</v>
      </c>
      <c r="K256" s="4"/>
      <c r="L256" s="4"/>
      <c r="M256" s="4"/>
      <c r="N256" s="4"/>
    </row>
    <row r="257" spans="1:14" ht="30" customHeight="1">
      <c r="A257" s="106"/>
      <c r="B257" s="4"/>
      <c r="C257" s="311"/>
      <c r="D257" s="13" t="s">
        <v>126</v>
      </c>
      <c r="E257" s="4"/>
      <c r="F257" s="4"/>
      <c r="G257" s="4"/>
      <c r="H257" s="4"/>
      <c r="I257" s="4"/>
      <c r="J257" s="4"/>
      <c r="K257" s="4"/>
      <c r="L257" s="4"/>
      <c r="M257" s="4"/>
      <c r="N257" s="4"/>
    </row>
    <row r="258" spans="1:14" ht="20.25" customHeight="1">
      <c r="A258" s="106">
        <v>258</v>
      </c>
      <c r="B258" s="169"/>
      <c r="C258" s="314">
        <v>1361</v>
      </c>
      <c r="D258" s="59" t="s">
        <v>91</v>
      </c>
      <c r="E258" s="59">
        <f t="shared" ref="E258:H264" ca="1" si="29">E808</f>
        <v>324799</v>
      </c>
      <c r="F258" s="59">
        <f t="shared" ca="1" si="29"/>
        <v>191557</v>
      </c>
      <c r="G258" s="59">
        <f t="shared" ca="1" si="29"/>
        <v>0</v>
      </c>
      <c r="H258" s="59">
        <f t="shared" ca="1" si="29"/>
        <v>0</v>
      </c>
      <c r="I258" s="57"/>
      <c r="J258" s="59">
        <f t="shared" ref="J258:J264" ca="1" si="30">J808</f>
        <v>516356</v>
      </c>
      <c r="K258" s="4"/>
      <c r="L258" s="4"/>
      <c r="M258" s="4"/>
      <c r="N258" s="4"/>
    </row>
    <row r="259" spans="1:14" ht="20.25" customHeight="1">
      <c r="A259" s="106">
        <v>259</v>
      </c>
      <c r="B259" s="169"/>
      <c r="C259" s="314">
        <v>1362</v>
      </c>
      <c r="D259" s="59" t="s">
        <v>84</v>
      </c>
      <c r="E259" s="59">
        <f t="shared" ca="1" si="29"/>
        <v>38864.720000000001</v>
      </c>
      <c r="F259" s="59">
        <f t="shared" ca="1" si="29"/>
        <v>0</v>
      </c>
      <c r="G259" s="59">
        <f t="shared" ca="1" si="29"/>
        <v>0</v>
      </c>
      <c r="H259" s="59">
        <f t="shared" ca="1" si="29"/>
        <v>0</v>
      </c>
      <c r="I259" s="57"/>
      <c r="J259" s="59">
        <f t="shared" ca="1" si="30"/>
        <v>38865</v>
      </c>
      <c r="K259" s="4"/>
      <c r="L259" s="4"/>
      <c r="M259" s="4"/>
      <c r="N259" s="4"/>
    </row>
    <row r="260" spans="1:14" ht="20.25" customHeight="1">
      <c r="A260" s="106">
        <v>260</v>
      </c>
      <c r="B260" s="169"/>
      <c r="C260" s="314">
        <v>1363</v>
      </c>
      <c r="D260" s="59" t="s">
        <v>85</v>
      </c>
      <c r="E260" s="59">
        <f t="shared" ca="1" si="29"/>
        <v>5431.53</v>
      </c>
      <c r="F260" s="59">
        <f t="shared" ca="1" si="29"/>
        <v>0</v>
      </c>
      <c r="G260" s="59">
        <f t="shared" ca="1" si="29"/>
        <v>0</v>
      </c>
      <c r="H260" s="59">
        <f t="shared" ca="1" si="29"/>
        <v>0</v>
      </c>
      <c r="I260" s="57"/>
      <c r="J260" s="59">
        <f t="shared" ca="1" si="30"/>
        <v>5432</v>
      </c>
      <c r="K260" s="4"/>
      <c r="L260" s="4"/>
      <c r="M260" s="4"/>
      <c r="N260" s="4"/>
    </row>
    <row r="261" spans="1:14" ht="20.25" customHeight="1">
      <c r="A261" s="106">
        <v>261</v>
      </c>
      <c r="B261" s="169"/>
      <c r="C261" s="314">
        <v>1364</v>
      </c>
      <c r="D261" s="59" t="s">
        <v>86</v>
      </c>
      <c r="E261" s="59">
        <f t="shared" ca="1" si="29"/>
        <v>13887.26</v>
      </c>
      <c r="F261" s="59">
        <f t="shared" ca="1" si="29"/>
        <v>0</v>
      </c>
      <c r="G261" s="59">
        <f t="shared" ca="1" si="29"/>
        <v>0</v>
      </c>
      <c r="H261" s="59">
        <f t="shared" ca="1" si="29"/>
        <v>0</v>
      </c>
      <c r="I261" s="57"/>
      <c r="J261" s="59">
        <f t="shared" ca="1" si="30"/>
        <v>13887</v>
      </c>
      <c r="K261" s="4"/>
      <c r="L261" s="4"/>
      <c r="M261" s="4"/>
      <c r="N261" s="4"/>
    </row>
    <row r="262" spans="1:14" ht="20.25" customHeight="1">
      <c r="A262" s="106">
        <v>262</v>
      </c>
      <c r="B262" s="169"/>
      <c r="C262" s="314">
        <v>1365</v>
      </c>
      <c r="D262" s="59" t="s">
        <v>87</v>
      </c>
      <c r="E262" s="59">
        <f t="shared" ca="1" si="29"/>
        <v>10116.58</v>
      </c>
      <c r="F262" s="59">
        <f t="shared" ca="1" si="29"/>
        <v>1253</v>
      </c>
      <c r="G262" s="59">
        <f t="shared" ca="1" si="29"/>
        <v>0</v>
      </c>
      <c r="H262" s="59">
        <f t="shared" ca="1" si="29"/>
        <v>0</v>
      </c>
      <c r="I262" s="57"/>
      <c r="J262" s="59">
        <f t="shared" ca="1" si="30"/>
        <v>11370</v>
      </c>
      <c r="K262" s="4"/>
      <c r="L262" s="4"/>
      <c r="M262" s="4"/>
      <c r="N262" s="4"/>
    </row>
    <row r="263" spans="1:14" ht="20.25" customHeight="1">
      <c r="A263" s="106">
        <v>263</v>
      </c>
      <c r="B263" s="169"/>
      <c r="C263" s="314">
        <v>1366</v>
      </c>
      <c r="D263" s="59" t="s">
        <v>88</v>
      </c>
      <c r="E263" s="59">
        <f t="shared" ca="1" si="29"/>
        <v>12481</v>
      </c>
      <c r="F263" s="59">
        <f t="shared" ca="1" si="29"/>
        <v>0</v>
      </c>
      <c r="G263" s="59">
        <f t="shared" ca="1" si="29"/>
        <v>0</v>
      </c>
      <c r="H263" s="59">
        <f t="shared" ca="1" si="29"/>
        <v>0</v>
      </c>
      <c r="I263" s="57"/>
      <c r="J263" s="59">
        <f t="shared" ca="1" si="30"/>
        <v>12481</v>
      </c>
      <c r="K263" s="4"/>
      <c r="L263" s="4"/>
      <c r="M263" s="4"/>
      <c r="N263" s="4"/>
    </row>
    <row r="264" spans="1:14" ht="20.25" customHeight="1">
      <c r="A264" s="106">
        <v>264</v>
      </c>
      <c r="B264" s="169"/>
      <c r="C264" s="314">
        <v>1369</v>
      </c>
      <c r="D264" s="307" t="s">
        <v>89</v>
      </c>
      <c r="E264" s="59">
        <f t="shared" ca="1" si="29"/>
        <v>405580</v>
      </c>
      <c r="F264" s="59">
        <f t="shared" ca="1" si="29"/>
        <v>192810</v>
      </c>
      <c r="G264" s="59">
        <f t="shared" ca="1" si="29"/>
        <v>0</v>
      </c>
      <c r="H264" s="59">
        <f t="shared" ca="1" si="29"/>
        <v>0</v>
      </c>
      <c r="I264" s="57"/>
      <c r="J264" s="59">
        <f t="shared" ca="1" si="30"/>
        <v>598390</v>
      </c>
      <c r="K264" s="4"/>
      <c r="L264" s="4"/>
      <c r="M264" s="4"/>
      <c r="N264" s="4"/>
    </row>
    <row r="265" spans="1:14" ht="30" customHeight="1">
      <c r="A265" s="106"/>
      <c r="B265" s="4"/>
      <c r="C265" s="311"/>
      <c r="D265" s="13" t="s">
        <v>127</v>
      </c>
      <c r="E265" s="4"/>
      <c r="F265" s="4"/>
      <c r="G265" s="4"/>
      <c r="H265" s="4"/>
      <c r="I265" s="4"/>
      <c r="J265" s="4"/>
      <c r="K265" s="4"/>
      <c r="L265" s="4"/>
      <c r="M265" s="4"/>
      <c r="N265" s="4"/>
    </row>
    <row r="266" spans="1:14" ht="20.25" customHeight="1">
      <c r="A266" s="106">
        <v>266</v>
      </c>
      <c r="B266" s="169"/>
      <c r="C266" s="314">
        <v>1381</v>
      </c>
      <c r="D266" s="59" t="s">
        <v>91</v>
      </c>
      <c r="E266" s="59">
        <f t="shared" ref="E266:H272" ca="1" si="31">E816</f>
        <v>0</v>
      </c>
      <c r="F266" s="59">
        <f t="shared" ca="1" si="31"/>
        <v>0</v>
      </c>
      <c r="G266" s="59">
        <f t="shared" ca="1" si="31"/>
        <v>0</v>
      </c>
      <c r="H266" s="59">
        <f t="shared" ca="1" si="31"/>
        <v>0</v>
      </c>
      <c r="I266" s="57"/>
      <c r="J266" s="59">
        <f t="shared" ref="J266:J272" ca="1" si="32">J816</f>
        <v>0</v>
      </c>
      <c r="K266" s="4"/>
      <c r="L266" s="4"/>
      <c r="M266" s="4"/>
      <c r="N266" s="4"/>
    </row>
    <row r="267" spans="1:14" ht="20.25" customHeight="1">
      <c r="A267" s="106">
        <v>267</v>
      </c>
      <c r="B267" s="169"/>
      <c r="C267" s="314">
        <v>1382</v>
      </c>
      <c r="D267" s="59" t="s">
        <v>84</v>
      </c>
      <c r="E267" s="59">
        <f t="shared" ca="1" si="31"/>
        <v>0</v>
      </c>
      <c r="F267" s="59">
        <f t="shared" ca="1" si="31"/>
        <v>0</v>
      </c>
      <c r="G267" s="59">
        <f t="shared" ca="1" si="31"/>
        <v>0</v>
      </c>
      <c r="H267" s="59">
        <f t="shared" ca="1" si="31"/>
        <v>0</v>
      </c>
      <c r="I267" s="57"/>
      <c r="J267" s="59">
        <f t="shared" ca="1" si="32"/>
        <v>0</v>
      </c>
      <c r="K267" s="4"/>
      <c r="L267" s="4"/>
      <c r="M267" s="4"/>
      <c r="N267" s="4"/>
    </row>
    <row r="268" spans="1:14" ht="20.25" customHeight="1">
      <c r="A268" s="106">
        <v>268</v>
      </c>
      <c r="B268" s="169"/>
      <c r="C268" s="314">
        <v>1383</v>
      </c>
      <c r="D268" s="59" t="s">
        <v>85</v>
      </c>
      <c r="E268" s="59">
        <f t="shared" ca="1" si="31"/>
        <v>0</v>
      </c>
      <c r="F268" s="59">
        <f t="shared" ca="1" si="31"/>
        <v>0</v>
      </c>
      <c r="G268" s="59">
        <f t="shared" ca="1" si="31"/>
        <v>0</v>
      </c>
      <c r="H268" s="59">
        <f t="shared" ca="1" si="31"/>
        <v>0</v>
      </c>
      <c r="I268" s="57"/>
      <c r="J268" s="59">
        <f t="shared" ca="1" si="32"/>
        <v>0</v>
      </c>
      <c r="K268" s="4"/>
      <c r="L268" s="4"/>
      <c r="M268" s="4"/>
      <c r="N268" s="4"/>
    </row>
    <row r="269" spans="1:14" ht="20.25" customHeight="1">
      <c r="A269" s="106">
        <v>269</v>
      </c>
      <c r="B269" s="169"/>
      <c r="C269" s="314">
        <v>1384</v>
      </c>
      <c r="D269" s="59" t="s">
        <v>86</v>
      </c>
      <c r="E269" s="59">
        <f t="shared" ca="1" si="31"/>
        <v>0</v>
      </c>
      <c r="F269" s="59">
        <f t="shared" ca="1" si="31"/>
        <v>0</v>
      </c>
      <c r="G269" s="59">
        <f t="shared" ca="1" si="31"/>
        <v>0</v>
      </c>
      <c r="H269" s="59">
        <f t="shared" ca="1" si="31"/>
        <v>0</v>
      </c>
      <c r="I269" s="57"/>
      <c r="J269" s="59">
        <f t="shared" ca="1" si="32"/>
        <v>0</v>
      </c>
      <c r="K269" s="4"/>
      <c r="L269" s="4"/>
      <c r="M269" s="4"/>
      <c r="N269" s="4"/>
    </row>
    <row r="270" spans="1:14" ht="20.25" customHeight="1">
      <c r="A270" s="106">
        <v>270</v>
      </c>
      <c r="B270" s="169"/>
      <c r="C270" s="314">
        <v>1385</v>
      </c>
      <c r="D270" s="59" t="s">
        <v>87</v>
      </c>
      <c r="E270" s="59">
        <f t="shared" ca="1" si="31"/>
        <v>0</v>
      </c>
      <c r="F270" s="59">
        <f t="shared" ca="1" si="31"/>
        <v>0</v>
      </c>
      <c r="G270" s="59">
        <f t="shared" ca="1" si="31"/>
        <v>0</v>
      </c>
      <c r="H270" s="59">
        <f t="shared" ca="1" si="31"/>
        <v>0</v>
      </c>
      <c r="I270" s="57"/>
      <c r="J270" s="59">
        <f t="shared" ca="1" si="32"/>
        <v>0</v>
      </c>
      <c r="K270" s="4"/>
      <c r="L270" s="4"/>
      <c r="M270" s="4"/>
      <c r="N270" s="4"/>
    </row>
    <row r="271" spans="1:14" ht="20.25" customHeight="1">
      <c r="A271" s="106">
        <v>271</v>
      </c>
      <c r="B271" s="169"/>
      <c r="C271" s="314">
        <v>1386</v>
      </c>
      <c r="D271" s="59" t="s">
        <v>88</v>
      </c>
      <c r="E271" s="59">
        <f t="shared" ca="1" si="31"/>
        <v>0</v>
      </c>
      <c r="F271" s="59">
        <f t="shared" ca="1" si="31"/>
        <v>0</v>
      </c>
      <c r="G271" s="59">
        <f t="shared" ca="1" si="31"/>
        <v>0</v>
      </c>
      <c r="H271" s="59">
        <f t="shared" ca="1" si="31"/>
        <v>0</v>
      </c>
      <c r="I271" s="57"/>
      <c r="J271" s="59">
        <f t="shared" ca="1" si="32"/>
        <v>0</v>
      </c>
      <c r="K271" s="4"/>
      <c r="L271" s="4"/>
      <c r="M271" s="4"/>
      <c r="N271" s="4"/>
    </row>
    <row r="272" spans="1:14" ht="20.25" customHeight="1">
      <c r="A272" s="106">
        <v>272</v>
      </c>
      <c r="B272" s="169"/>
      <c r="C272" s="314">
        <v>1389</v>
      </c>
      <c r="D272" s="307" t="s">
        <v>89</v>
      </c>
      <c r="E272" s="59">
        <f t="shared" ca="1" si="31"/>
        <v>0</v>
      </c>
      <c r="F272" s="59">
        <f t="shared" ca="1" si="31"/>
        <v>0</v>
      </c>
      <c r="G272" s="59">
        <f t="shared" ca="1" si="31"/>
        <v>0</v>
      </c>
      <c r="H272" s="59">
        <f t="shared" ca="1" si="31"/>
        <v>0</v>
      </c>
      <c r="I272" s="57"/>
      <c r="J272" s="59">
        <f t="shared" ca="1" si="32"/>
        <v>0</v>
      </c>
      <c r="K272" s="4"/>
      <c r="L272" s="4"/>
      <c r="M272" s="4"/>
      <c r="N272" s="4"/>
    </row>
    <row r="273" spans="1:14" ht="30" customHeight="1">
      <c r="A273" s="106"/>
      <c r="B273" s="4"/>
      <c r="C273" s="311"/>
      <c r="D273" s="13" t="s">
        <v>128</v>
      </c>
      <c r="E273" s="4"/>
      <c r="F273" s="4"/>
      <c r="G273" s="4"/>
      <c r="H273" s="4"/>
      <c r="I273" s="4"/>
      <c r="J273" s="4"/>
      <c r="K273" s="4"/>
      <c r="L273" s="4"/>
      <c r="M273" s="4"/>
      <c r="N273" s="4"/>
    </row>
    <row r="274" spans="1:14" ht="20.25" customHeight="1">
      <c r="A274" s="106">
        <v>274</v>
      </c>
      <c r="B274" s="169"/>
      <c r="C274" s="314">
        <v>1401</v>
      </c>
      <c r="D274" s="59" t="s">
        <v>91</v>
      </c>
      <c r="E274" s="59">
        <f t="shared" ref="E274:H278" ca="1" si="33">E824</f>
        <v>184049</v>
      </c>
      <c r="F274" s="59">
        <f t="shared" ca="1" si="33"/>
        <v>164611</v>
      </c>
      <c r="G274" s="59">
        <f t="shared" ca="1" si="33"/>
        <v>0</v>
      </c>
      <c r="H274" s="59">
        <f t="shared" ca="1" si="33"/>
        <v>0</v>
      </c>
      <c r="I274" s="57"/>
      <c r="J274" s="59">
        <f ca="1">J824</f>
        <v>348660</v>
      </c>
      <c r="K274" s="4"/>
      <c r="L274" s="4"/>
      <c r="M274" s="4"/>
      <c r="N274" s="4"/>
    </row>
    <row r="275" spans="1:14" ht="20.25" customHeight="1">
      <c r="A275" s="106">
        <v>275</v>
      </c>
      <c r="B275" s="169"/>
      <c r="C275" s="314">
        <v>1402</v>
      </c>
      <c r="D275" s="59" t="s">
        <v>84</v>
      </c>
      <c r="E275" s="59">
        <f t="shared" ca="1" si="33"/>
        <v>0</v>
      </c>
      <c r="F275" s="59">
        <f t="shared" ca="1" si="33"/>
        <v>0</v>
      </c>
      <c r="G275" s="59">
        <f t="shared" ca="1" si="33"/>
        <v>0</v>
      </c>
      <c r="H275" s="59">
        <f t="shared" ca="1" si="33"/>
        <v>0</v>
      </c>
      <c r="I275" s="57"/>
      <c r="J275" s="59">
        <f ca="1">J825</f>
        <v>0</v>
      </c>
      <c r="K275" s="4"/>
      <c r="L275" s="4"/>
      <c r="M275" s="4"/>
      <c r="N275" s="4"/>
    </row>
    <row r="276" spans="1:14" ht="20.25" customHeight="1">
      <c r="A276" s="106">
        <v>276</v>
      </c>
      <c r="B276" s="169"/>
      <c r="C276" s="314">
        <v>1403</v>
      </c>
      <c r="D276" s="59" t="s">
        <v>85</v>
      </c>
      <c r="E276" s="59">
        <f t="shared" ca="1" si="33"/>
        <v>0</v>
      </c>
      <c r="F276" s="59">
        <f t="shared" ca="1" si="33"/>
        <v>0</v>
      </c>
      <c r="G276" s="59">
        <f t="shared" ca="1" si="33"/>
        <v>0</v>
      </c>
      <c r="H276" s="59">
        <f t="shared" ca="1" si="33"/>
        <v>0</v>
      </c>
      <c r="I276" s="57"/>
      <c r="J276" s="59">
        <f ca="1">J826</f>
        <v>0</v>
      </c>
      <c r="K276" s="4"/>
      <c r="L276" s="4"/>
      <c r="M276" s="4"/>
      <c r="N276" s="4"/>
    </row>
    <row r="277" spans="1:14" ht="20.25" customHeight="1">
      <c r="A277" s="106">
        <v>277</v>
      </c>
      <c r="B277" s="169"/>
      <c r="C277" s="314">
        <v>1404</v>
      </c>
      <c r="D277" s="59" t="s">
        <v>86</v>
      </c>
      <c r="E277" s="59">
        <f t="shared" ca="1" si="33"/>
        <v>0</v>
      </c>
      <c r="F277" s="59">
        <f t="shared" ca="1" si="33"/>
        <v>0</v>
      </c>
      <c r="G277" s="59">
        <f t="shared" ca="1" si="33"/>
        <v>0</v>
      </c>
      <c r="H277" s="59">
        <f t="shared" ca="1" si="33"/>
        <v>0</v>
      </c>
      <c r="I277" s="57"/>
      <c r="J277" s="59">
        <f ca="1">J827</f>
        <v>0</v>
      </c>
      <c r="K277" s="4"/>
      <c r="L277" s="4"/>
      <c r="M277" s="4"/>
      <c r="N277" s="4"/>
    </row>
    <row r="278" spans="1:14" ht="20.25" customHeight="1">
      <c r="A278" s="106">
        <v>278</v>
      </c>
      <c r="B278" s="169"/>
      <c r="C278" s="314">
        <v>1405</v>
      </c>
      <c r="D278" s="59" t="s">
        <v>87</v>
      </c>
      <c r="E278" s="59">
        <f t="shared" ca="1" si="33"/>
        <v>6663</v>
      </c>
      <c r="F278" s="59">
        <f t="shared" ca="1" si="33"/>
        <v>0</v>
      </c>
      <c r="G278" s="59">
        <f t="shared" ca="1" si="33"/>
        <v>0</v>
      </c>
      <c r="H278" s="59">
        <f t="shared" ca="1" si="33"/>
        <v>0</v>
      </c>
      <c r="I278" s="57"/>
      <c r="J278" s="59">
        <f ca="1">J828</f>
        <v>6663</v>
      </c>
      <c r="K278" s="4"/>
      <c r="L278" s="4"/>
      <c r="M278" s="4"/>
      <c r="N278" s="4"/>
    </row>
    <row r="279" spans="1:14" ht="20.25" customHeight="1">
      <c r="A279" s="106">
        <v>279</v>
      </c>
      <c r="B279" s="169"/>
      <c r="C279" s="314">
        <v>1406</v>
      </c>
      <c r="D279" s="59" t="s">
        <v>88</v>
      </c>
      <c r="E279" s="59">
        <f t="shared" ref="E279:J279" ca="1" si="34">E829</f>
        <v>0</v>
      </c>
      <c r="F279" s="59">
        <f t="shared" ca="1" si="34"/>
        <v>0</v>
      </c>
      <c r="G279" s="59">
        <f t="shared" ca="1" si="34"/>
        <v>0</v>
      </c>
      <c r="H279" s="59">
        <f t="shared" ca="1" si="34"/>
        <v>0</v>
      </c>
      <c r="I279" s="57"/>
      <c r="J279" s="59">
        <f t="shared" ca="1" si="34"/>
        <v>0</v>
      </c>
      <c r="K279" s="4"/>
      <c r="L279" s="4"/>
      <c r="M279" s="4"/>
      <c r="N279" s="4"/>
    </row>
    <row r="280" spans="1:14" ht="20.25" customHeight="1">
      <c r="A280" s="106">
        <v>280</v>
      </c>
      <c r="B280" s="169"/>
      <c r="C280" s="314">
        <v>1409</v>
      </c>
      <c r="D280" s="307" t="s">
        <v>89</v>
      </c>
      <c r="E280" s="59">
        <f t="shared" ref="E280:J280" ca="1" si="35">E830</f>
        <v>190712</v>
      </c>
      <c r="F280" s="59">
        <f t="shared" ca="1" si="35"/>
        <v>164611</v>
      </c>
      <c r="G280" s="59">
        <f t="shared" ca="1" si="35"/>
        <v>0</v>
      </c>
      <c r="H280" s="59">
        <f t="shared" ca="1" si="35"/>
        <v>0</v>
      </c>
      <c r="I280" s="57"/>
      <c r="J280" s="59">
        <f t="shared" ca="1" si="35"/>
        <v>355323</v>
      </c>
      <c r="K280" s="4"/>
      <c r="L280" s="4"/>
      <c r="M280" s="4"/>
      <c r="N280" s="4"/>
    </row>
    <row r="281" spans="1:14" ht="24.75" customHeight="1">
      <c r="A281" s="106"/>
      <c r="B281" s="4"/>
      <c r="C281" s="312"/>
      <c r="D281" s="13" t="s">
        <v>129</v>
      </c>
      <c r="E281" s="4"/>
      <c r="F281" s="4"/>
      <c r="G281" s="4"/>
      <c r="H281" s="4"/>
      <c r="I281" s="4"/>
      <c r="J281" s="4"/>
      <c r="K281" s="4"/>
      <c r="L281" s="4"/>
      <c r="M281" s="4"/>
      <c r="N281" s="4"/>
    </row>
    <row r="282" spans="1:14" ht="20.25" customHeight="1">
      <c r="A282" s="106">
        <v>282</v>
      </c>
      <c r="B282" s="169"/>
      <c r="C282" s="314">
        <v>1421</v>
      </c>
      <c r="D282" s="59" t="s">
        <v>91</v>
      </c>
      <c r="E282" s="57"/>
      <c r="F282" s="57"/>
      <c r="G282" s="57"/>
      <c r="H282" s="57"/>
      <c r="I282" s="8"/>
      <c r="J282" s="59">
        <f t="shared" ref="J282:J288" si="36">ROUND(I282,0)</f>
        <v>0</v>
      </c>
      <c r="K282" s="4"/>
      <c r="L282" s="4"/>
      <c r="M282" s="4"/>
      <c r="N282" s="4"/>
    </row>
    <row r="283" spans="1:14" ht="20.25" customHeight="1">
      <c r="A283" s="106">
        <v>283</v>
      </c>
      <c r="B283" s="169"/>
      <c r="C283" s="314">
        <v>1422</v>
      </c>
      <c r="D283" s="59" t="s">
        <v>84</v>
      </c>
      <c r="E283" s="57"/>
      <c r="F283" s="57"/>
      <c r="G283" s="57"/>
      <c r="H283" s="57"/>
      <c r="I283" s="8"/>
      <c r="J283" s="59">
        <f t="shared" si="36"/>
        <v>0</v>
      </c>
      <c r="K283" s="4"/>
      <c r="L283" s="4"/>
      <c r="M283" s="4"/>
      <c r="N283" s="4"/>
    </row>
    <row r="284" spans="1:14" ht="20.25" customHeight="1">
      <c r="A284" s="106">
        <v>284</v>
      </c>
      <c r="B284" s="169"/>
      <c r="C284" s="314">
        <v>1423</v>
      </c>
      <c r="D284" s="59" t="s">
        <v>85</v>
      </c>
      <c r="E284" s="57"/>
      <c r="F284" s="57"/>
      <c r="G284" s="57"/>
      <c r="H284" s="57"/>
      <c r="I284" s="8"/>
      <c r="J284" s="59">
        <f t="shared" si="36"/>
        <v>0</v>
      </c>
      <c r="K284" s="4"/>
      <c r="L284" s="4"/>
      <c r="M284" s="4"/>
      <c r="N284" s="4"/>
    </row>
    <row r="285" spans="1:14" ht="20.25" customHeight="1">
      <c r="A285" s="106">
        <v>285</v>
      </c>
      <c r="B285" s="169"/>
      <c r="C285" s="314">
        <v>1424</v>
      </c>
      <c r="D285" s="59" t="s">
        <v>86</v>
      </c>
      <c r="E285" s="57"/>
      <c r="F285" s="57"/>
      <c r="G285" s="57"/>
      <c r="H285" s="57"/>
      <c r="I285" s="8"/>
      <c r="J285" s="59">
        <f t="shared" si="36"/>
        <v>0</v>
      </c>
      <c r="K285" s="4"/>
      <c r="L285" s="4"/>
      <c r="M285" s="4"/>
      <c r="N285" s="4"/>
    </row>
    <row r="286" spans="1:14" ht="20.25" customHeight="1">
      <c r="A286" s="106">
        <v>286</v>
      </c>
      <c r="B286" s="169"/>
      <c r="C286" s="314">
        <v>1425</v>
      </c>
      <c r="D286" s="59" t="s">
        <v>87</v>
      </c>
      <c r="E286" s="57"/>
      <c r="F286" s="57"/>
      <c r="G286" s="57"/>
      <c r="H286" s="57"/>
      <c r="I286" s="8"/>
      <c r="J286" s="59">
        <f t="shared" si="36"/>
        <v>0</v>
      </c>
      <c r="K286" s="4"/>
      <c r="L286" s="4"/>
      <c r="M286" s="4"/>
      <c r="N286" s="4"/>
    </row>
    <row r="287" spans="1:14" ht="20.25" customHeight="1">
      <c r="A287" s="106">
        <v>287</v>
      </c>
      <c r="B287" s="169"/>
      <c r="C287" s="314">
        <v>1426</v>
      </c>
      <c r="D287" s="59" t="s">
        <v>88</v>
      </c>
      <c r="E287" s="57"/>
      <c r="F287" s="57"/>
      <c r="G287" s="57"/>
      <c r="H287" s="57"/>
      <c r="I287" s="8"/>
      <c r="J287" s="59">
        <f t="shared" si="36"/>
        <v>0</v>
      </c>
      <c r="K287" s="4"/>
      <c r="L287" s="4"/>
      <c r="M287" s="4"/>
      <c r="N287" s="4"/>
    </row>
    <row r="288" spans="1:14" ht="20.25" customHeight="1">
      <c r="A288" s="106">
        <v>288</v>
      </c>
      <c r="B288" s="169"/>
      <c r="C288" s="314">
        <v>1429</v>
      </c>
      <c r="D288" s="307" t="s">
        <v>89</v>
      </c>
      <c r="E288" s="57"/>
      <c r="F288" s="57"/>
      <c r="G288" s="57"/>
      <c r="H288" s="57"/>
      <c r="I288" s="59">
        <f>ROUND(SUM(I282:I287),0)</f>
        <v>0</v>
      </c>
      <c r="J288" s="59">
        <f t="shared" si="36"/>
        <v>0</v>
      </c>
      <c r="K288" s="4"/>
      <c r="L288" s="4"/>
      <c r="M288" s="4"/>
      <c r="N288" s="4"/>
    </row>
    <row r="289" spans="1:14" ht="29.25" customHeight="1">
      <c r="A289" s="106"/>
      <c r="B289" s="4"/>
      <c r="C289" s="311"/>
      <c r="D289" s="13" t="s">
        <v>130</v>
      </c>
      <c r="E289" s="4"/>
      <c r="F289" s="4"/>
      <c r="G289" s="4"/>
      <c r="H289" s="4"/>
      <c r="I289" s="4"/>
      <c r="J289" s="4"/>
      <c r="K289" s="4"/>
      <c r="L289" s="4"/>
      <c r="M289" s="4"/>
      <c r="N289" s="4"/>
    </row>
    <row r="290" spans="1:14" ht="20.25" customHeight="1">
      <c r="A290" s="106">
        <v>290</v>
      </c>
      <c r="B290" s="169"/>
      <c r="C290" s="314">
        <v>1441</v>
      </c>
      <c r="D290" s="59" t="s">
        <v>91</v>
      </c>
      <c r="E290" s="57"/>
      <c r="F290" s="57"/>
      <c r="G290" s="57"/>
      <c r="H290" s="57"/>
      <c r="I290" s="8">
        <f>65658+63070.64+48746.72+56273.36+2957</f>
        <v>236705.71999999997</v>
      </c>
      <c r="J290" s="59">
        <f t="shared" ref="J290:J296" si="37">ROUND(I290,0)</f>
        <v>236706</v>
      </c>
      <c r="K290" s="4"/>
      <c r="L290" s="4"/>
      <c r="M290" s="4"/>
      <c r="N290" s="4"/>
    </row>
    <row r="291" spans="1:14" ht="20.25" customHeight="1">
      <c r="A291" s="106">
        <v>291</v>
      </c>
      <c r="B291" s="169"/>
      <c r="C291" s="314">
        <v>1442</v>
      </c>
      <c r="D291" s="59" t="s">
        <v>84</v>
      </c>
      <c r="E291" s="57"/>
      <c r="F291" s="57"/>
      <c r="G291" s="57"/>
      <c r="H291" s="57"/>
      <c r="I291" s="8"/>
      <c r="J291" s="59">
        <f t="shared" si="37"/>
        <v>0</v>
      </c>
      <c r="K291" s="4"/>
      <c r="L291" s="4"/>
      <c r="M291" s="4"/>
      <c r="N291" s="4"/>
    </row>
    <row r="292" spans="1:14" ht="20.25" customHeight="1">
      <c r="A292" s="106">
        <v>292</v>
      </c>
      <c r="B292" s="169"/>
      <c r="C292" s="314">
        <v>1443</v>
      </c>
      <c r="D292" s="59" t="s">
        <v>85</v>
      </c>
      <c r="E292" s="57"/>
      <c r="F292" s="57"/>
      <c r="G292" s="57"/>
      <c r="H292" s="57"/>
      <c r="I292" s="8">
        <v>3500</v>
      </c>
      <c r="J292" s="59">
        <f t="shared" si="37"/>
        <v>3500</v>
      </c>
      <c r="K292" s="4"/>
      <c r="L292" s="4"/>
      <c r="M292" s="4"/>
      <c r="N292" s="4"/>
    </row>
    <row r="293" spans="1:14" ht="20.25" customHeight="1">
      <c r="A293" s="106">
        <v>293</v>
      </c>
      <c r="B293" s="169"/>
      <c r="C293" s="314">
        <v>1444</v>
      </c>
      <c r="D293" s="59" t="s">
        <v>86</v>
      </c>
      <c r="E293" s="57"/>
      <c r="F293" s="57"/>
      <c r="G293" s="57"/>
      <c r="H293" s="57"/>
      <c r="I293" s="8">
        <v>3525</v>
      </c>
      <c r="J293" s="59">
        <f t="shared" si="37"/>
        <v>3525</v>
      </c>
      <c r="K293" s="4"/>
      <c r="L293" s="4"/>
      <c r="M293" s="4"/>
      <c r="N293" s="4"/>
    </row>
    <row r="294" spans="1:14" ht="20.25" customHeight="1">
      <c r="A294" s="106">
        <v>294</v>
      </c>
      <c r="B294" s="169"/>
      <c r="C294" s="314">
        <v>1445</v>
      </c>
      <c r="D294" s="59" t="s">
        <v>87</v>
      </c>
      <c r="E294" s="57"/>
      <c r="F294" s="57"/>
      <c r="G294" s="57"/>
      <c r="H294" s="57"/>
      <c r="I294" s="8">
        <v>4141.91</v>
      </c>
      <c r="J294" s="59">
        <f t="shared" si="37"/>
        <v>4142</v>
      </c>
      <c r="K294" s="4"/>
      <c r="L294" s="4"/>
      <c r="M294" s="4"/>
      <c r="N294" s="4"/>
    </row>
    <row r="295" spans="1:14" ht="20.25" customHeight="1">
      <c r="A295" s="106">
        <v>295</v>
      </c>
      <c r="B295" s="169"/>
      <c r="C295" s="314">
        <v>1446</v>
      </c>
      <c r="D295" s="59" t="s">
        <v>88</v>
      </c>
      <c r="E295" s="57"/>
      <c r="F295" s="57"/>
      <c r="G295" s="57"/>
      <c r="H295" s="57"/>
      <c r="I295" s="8">
        <v>620</v>
      </c>
      <c r="J295" s="59">
        <f t="shared" si="37"/>
        <v>620</v>
      </c>
      <c r="K295" s="4"/>
      <c r="L295" s="4"/>
      <c r="M295" s="4"/>
      <c r="N295" s="4"/>
    </row>
    <row r="296" spans="1:14" ht="20.25" customHeight="1">
      <c r="A296" s="106">
        <v>296</v>
      </c>
      <c r="B296" s="169"/>
      <c r="C296" s="314">
        <v>1449</v>
      </c>
      <c r="D296" s="307" t="s">
        <v>89</v>
      </c>
      <c r="E296" s="57"/>
      <c r="F296" s="57"/>
      <c r="G296" s="57"/>
      <c r="H296" s="57"/>
      <c r="I296" s="59">
        <f>ROUND(SUM(I290:I295),0)</f>
        <v>248493</v>
      </c>
      <c r="J296" s="59">
        <f t="shared" si="37"/>
        <v>248493</v>
      </c>
      <c r="K296" s="4"/>
      <c r="L296" s="4"/>
      <c r="M296" s="4"/>
      <c r="N296" s="4"/>
    </row>
    <row r="297" spans="1:14" ht="29.25" customHeight="1">
      <c r="A297" s="106"/>
      <c r="B297" s="4"/>
      <c r="C297" s="311"/>
      <c r="D297" s="13" t="s">
        <v>131</v>
      </c>
      <c r="E297" s="4"/>
      <c r="F297" s="4"/>
      <c r="G297" s="4"/>
      <c r="H297" s="4"/>
      <c r="I297" s="4"/>
      <c r="J297" s="4"/>
      <c r="K297" s="4"/>
      <c r="L297" s="4"/>
      <c r="M297" s="4"/>
      <c r="N297" s="4"/>
    </row>
    <row r="298" spans="1:14" ht="20.25" customHeight="1">
      <c r="A298" s="106">
        <v>298</v>
      </c>
      <c r="B298" s="169"/>
      <c r="C298" s="316">
        <v>1461</v>
      </c>
      <c r="D298" s="317" t="s">
        <v>91</v>
      </c>
      <c r="E298" s="8"/>
      <c r="F298" s="8"/>
      <c r="G298" s="8"/>
      <c r="H298" s="8"/>
      <c r="I298" s="57"/>
      <c r="J298" s="59">
        <f t="shared" ref="J298:J304" si="38">ROUND(SUM(E298:H298),0)</f>
        <v>0</v>
      </c>
      <c r="K298" s="4"/>
      <c r="L298" s="4"/>
      <c r="M298" s="4"/>
      <c r="N298" s="4"/>
    </row>
    <row r="299" spans="1:14" ht="20.25" customHeight="1">
      <c r="A299" s="106">
        <v>299</v>
      </c>
      <c r="B299" s="169"/>
      <c r="C299" s="316">
        <v>1462</v>
      </c>
      <c r="D299" s="317" t="s">
        <v>84</v>
      </c>
      <c r="E299" s="8"/>
      <c r="F299" s="8"/>
      <c r="G299" s="8"/>
      <c r="H299" s="8"/>
      <c r="I299" s="57"/>
      <c r="J299" s="59">
        <f t="shared" si="38"/>
        <v>0</v>
      </c>
      <c r="K299" s="4"/>
      <c r="L299" s="4"/>
      <c r="M299" s="4"/>
      <c r="N299" s="4"/>
    </row>
    <row r="300" spans="1:14" ht="20.25" customHeight="1">
      <c r="A300" s="106">
        <v>300</v>
      </c>
      <c r="B300" s="169"/>
      <c r="C300" s="316">
        <v>1463</v>
      </c>
      <c r="D300" s="317" t="s">
        <v>85</v>
      </c>
      <c r="E300" s="8"/>
      <c r="F300" s="8"/>
      <c r="G300" s="8"/>
      <c r="H300" s="8"/>
      <c r="I300" s="57"/>
      <c r="J300" s="59">
        <f t="shared" si="38"/>
        <v>0</v>
      </c>
      <c r="K300" s="4"/>
      <c r="L300" s="4"/>
      <c r="M300" s="4"/>
      <c r="N300" s="4"/>
    </row>
    <row r="301" spans="1:14" ht="20.25" customHeight="1">
      <c r="A301" s="106">
        <v>301</v>
      </c>
      <c r="B301" s="169"/>
      <c r="C301" s="316">
        <v>1464</v>
      </c>
      <c r="D301" s="317" t="s">
        <v>86</v>
      </c>
      <c r="E301" s="8">
        <v>917525</v>
      </c>
      <c r="F301" s="8">
        <v>401402.22</v>
      </c>
      <c r="G301" s="8"/>
      <c r="H301" s="8"/>
      <c r="I301" s="57"/>
      <c r="J301" s="59">
        <f t="shared" si="38"/>
        <v>1318927</v>
      </c>
      <c r="K301" s="4"/>
      <c r="L301" s="4"/>
      <c r="M301" s="4"/>
      <c r="N301" s="4"/>
    </row>
    <row r="302" spans="1:14" ht="20.25" customHeight="1">
      <c r="A302" s="106">
        <v>302</v>
      </c>
      <c r="B302" s="169"/>
      <c r="C302" s="316">
        <v>1465</v>
      </c>
      <c r="D302" s="317" t="s">
        <v>87</v>
      </c>
      <c r="E302" s="8"/>
      <c r="F302" s="8"/>
      <c r="G302" s="8"/>
      <c r="H302" s="8"/>
      <c r="I302" s="57"/>
      <c r="J302" s="59">
        <f t="shared" si="38"/>
        <v>0</v>
      </c>
      <c r="K302" s="4"/>
      <c r="L302" s="4"/>
      <c r="M302" s="4"/>
      <c r="N302" s="4"/>
    </row>
    <row r="303" spans="1:14" ht="20.25" customHeight="1">
      <c r="A303" s="106">
        <v>303</v>
      </c>
      <c r="B303" s="169"/>
      <c r="C303" s="316">
        <v>1466</v>
      </c>
      <c r="D303" s="317" t="s">
        <v>88</v>
      </c>
      <c r="E303" s="8"/>
      <c r="F303" s="8"/>
      <c r="G303" s="8"/>
      <c r="H303" s="8"/>
      <c r="I303" s="57"/>
      <c r="J303" s="59">
        <f t="shared" si="38"/>
        <v>0</v>
      </c>
      <c r="K303" s="4"/>
      <c r="L303" s="4"/>
      <c r="M303" s="4"/>
      <c r="N303" s="4"/>
    </row>
    <row r="304" spans="1:14" ht="20.25" customHeight="1">
      <c r="A304" s="106">
        <v>304</v>
      </c>
      <c r="B304" s="169"/>
      <c r="C304" s="316">
        <v>1469</v>
      </c>
      <c r="D304" s="318" t="s">
        <v>89</v>
      </c>
      <c r="E304" s="59">
        <f>ROUND(SUM(E298:E303),0)</f>
        <v>917525</v>
      </c>
      <c r="F304" s="59">
        <f>ROUND(SUM(F298:F303),0)</f>
        <v>401402</v>
      </c>
      <c r="G304" s="59">
        <f>ROUND(SUM(G298:G303),0)</f>
        <v>0</v>
      </c>
      <c r="H304" s="59">
        <f>ROUND(SUM(H298:H303),0)</f>
        <v>0</v>
      </c>
      <c r="I304" s="57"/>
      <c r="J304" s="59">
        <f t="shared" si="38"/>
        <v>1318927</v>
      </c>
      <c r="K304" s="4"/>
      <c r="L304" s="4"/>
      <c r="M304" s="4"/>
      <c r="N304" s="4"/>
    </row>
    <row r="305" spans="1:14" ht="29.25" customHeight="1">
      <c r="A305" s="106"/>
      <c r="B305" s="4"/>
      <c r="C305" s="311"/>
      <c r="D305" s="13" t="s">
        <v>132</v>
      </c>
      <c r="E305" s="59"/>
      <c r="F305" s="4"/>
      <c r="G305" s="4"/>
      <c r="H305" s="4"/>
      <c r="I305" s="4"/>
      <c r="J305" s="4"/>
      <c r="K305" s="4"/>
      <c r="L305" s="4"/>
      <c r="M305" s="4"/>
      <c r="N305" s="4"/>
    </row>
    <row r="306" spans="1:14" ht="20.25" customHeight="1">
      <c r="A306" s="106">
        <v>306</v>
      </c>
      <c r="B306" s="169"/>
      <c r="C306" s="314">
        <v>1481</v>
      </c>
      <c r="D306" s="59" t="s">
        <v>91</v>
      </c>
      <c r="E306" s="57"/>
      <c r="F306" s="57"/>
      <c r="G306" s="57"/>
      <c r="H306" s="57"/>
      <c r="I306" s="8"/>
      <c r="J306" s="59">
        <f t="shared" ref="J306:J312" si="39">ROUND(I306,0)</f>
        <v>0</v>
      </c>
      <c r="K306" s="4"/>
      <c r="L306" s="4"/>
      <c r="M306" s="4"/>
      <c r="N306" s="4"/>
    </row>
    <row r="307" spans="1:14" ht="20.25" customHeight="1">
      <c r="A307" s="106">
        <v>307</v>
      </c>
      <c r="B307" s="169"/>
      <c r="C307" s="314">
        <v>1482</v>
      </c>
      <c r="D307" s="59" t="s">
        <v>84</v>
      </c>
      <c r="E307" s="57"/>
      <c r="F307" s="57"/>
      <c r="G307" s="57"/>
      <c r="H307" s="57"/>
      <c r="I307" s="8"/>
      <c r="J307" s="59">
        <f t="shared" si="39"/>
        <v>0</v>
      </c>
      <c r="K307" s="4"/>
      <c r="L307" s="4"/>
      <c r="M307" s="4"/>
      <c r="N307" s="4"/>
    </row>
    <row r="308" spans="1:14" ht="20.25" customHeight="1">
      <c r="A308" s="106">
        <v>308</v>
      </c>
      <c r="B308" s="169"/>
      <c r="C308" s="314">
        <v>1483</v>
      </c>
      <c r="D308" s="59" t="s">
        <v>85</v>
      </c>
      <c r="E308" s="57"/>
      <c r="F308" s="57"/>
      <c r="G308" s="57"/>
      <c r="H308" s="57"/>
      <c r="I308" s="8"/>
      <c r="J308" s="59">
        <f t="shared" si="39"/>
        <v>0</v>
      </c>
      <c r="K308" s="4"/>
      <c r="L308" s="4"/>
      <c r="M308" s="4"/>
      <c r="N308" s="4"/>
    </row>
    <row r="309" spans="1:14" ht="20.25" customHeight="1">
      <c r="A309" s="106">
        <v>309</v>
      </c>
      <c r="B309" s="169"/>
      <c r="C309" s="314">
        <v>1484</v>
      </c>
      <c r="D309" s="59" t="s">
        <v>86</v>
      </c>
      <c r="E309" s="57"/>
      <c r="F309" s="57"/>
      <c r="G309" s="57"/>
      <c r="H309" s="57"/>
      <c r="I309" s="8"/>
      <c r="J309" s="59">
        <f t="shared" si="39"/>
        <v>0</v>
      </c>
      <c r="K309" s="4"/>
      <c r="L309" s="4"/>
      <c r="M309" s="4"/>
      <c r="N309" s="4"/>
    </row>
    <row r="310" spans="1:14" ht="20.25" customHeight="1">
      <c r="A310" s="106">
        <v>310</v>
      </c>
      <c r="B310" s="169"/>
      <c r="C310" s="316">
        <v>1485</v>
      </c>
      <c r="D310" s="317" t="s">
        <v>87</v>
      </c>
      <c r="E310" s="57"/>
      <c r="F310" s="57"/>
      <c r="G310" s="57"/>
      <c r="H310" s="57"/>
      <c r="I310" s="8"/>
      <c r="J310" s="59">
        <f t="shared" si="39"/>
        <v>0</v>
      </c>
      <c r="K310" s="4"/>
      <c r="L310" s="4"/>
      <c r="M310" s="4"/>
      <c r="N310" s="4"/>
    </row>
    <row r="311" spans="1:14" ht="20.25" customHeight="1">
      <c r="A311" s="106">
        <v>311</v>
      </c>
      <c r="B311" s="169"/>
      <c r="C311" s="314">
        <v>1486</v>
      </c>
      <c r="D311" s="59" t="s">
        <v>88</v>
      </c>
      <c r="E311" s="57"/>
      <c r="F311" s="57"/>
      <c r="G311" s="57"/>
      <c r="H311" s="57"/>
      <c r="I311" s="8"/>
      <c r="J311" s="59">
        <f t="shared" si="39"/>
        <v>0</v>
      </c>
      <c r="K311" s="4"/>
      <c r="L311" s="4"/>
      <c r="M311" s="4"/>
      <c r="N311" s="4"/>
    </row>
    <row r="312" spans="1:14" ht="20.25" customHeight="1">
      <c r="A312" s="106">
        <v>312</v>
      </c>
      <c r="B312" s="169"/>
      <c r="C312" s="314">
        <v>1489</v>
      </c>
      <c r="D312" s="59" t="s">
        <v>133</v>
      </c>
      <c r="E312" s="57"/>
      <c r="F312" s="57"/>
      <c r="G312" s="57"/>
      <c r="H312" s="57"/>
      <c r="I312" s="59">
        <f>ROUND(SUM(I306:I311),0)</f>
        <v>0</v>
      </c>
      <c r="J312" s="59">
        <f t="shared" si="39"/>
        <v>0</v>
      </c>
      <c r="K312" s="4"/>
      <c r="L312" s="4"/>
      <c r="M312" s="4"/>
      <c r="N312" s="4"/>
    </row>
    <row r="313" spans="1:14" ht="24.75" customHeight="1">
      <c r="A313" s="106"/>
      <c r="B313" s="4"/>
      <c r="C313" s="312"/>
      <c r="D313" s="13" t="s">
        <v>134</v>
      </c>
      <c r="E313" s="4"/>
      <c r="F313" s="4"/>
      <c r="G313" s="4"/>
      <c r="H313" s="4"/>
      <c r="I313" s="4"/>
      <c r="J313" s="4"/>
      <c r="K313" s="4"/>
      <c r="L313" s="4"/>
      <c r="M313" s="4"/>
      <c r="N313" s="4"/>
    </row>
    <row r="314" spans="1:14" ht="20.25" customHeight="1">
      <c r="A314" s="106">
        <v>314</v>
      </c>
      <c r="B314" s="169"/>
      <c r="C314" s="314">
        <v>1501</v>
      </c>
      <c r="D314" s="59" t="s">
        <v>91</v>
      </c>
      <c r="E314" s="57"/>
      <c r="F314" s="57"/>
      <c r="G314" s="57"/>
      <c r="H314" s="57"/>
      <c r="I314" s="8">
        <f>90200+61800</f>
        <v>152000</v>
      </c>
      <c r="J314" s="59">
        <f t="shared" ref="J314:J320" si="40">ROUND(I314,0)</f>
        <v>152000</v>
      </c>
      <c r="K314" s="4"/>
      <c r="L314" s="4"/>
      <c r="M314" s="4"/>
      <c r="N314" s="4"/>
    </row>
    <row r="315" spans="1:14" ht="20.25" customHeight="1">
      <c r="A315" s="106">
        <v>315</v>
      </c>
      <c r="B315" s="169"/>
      <c r="C315" s="314">
        <v>1502</v>
      </c>
      <c r="D315" s="59" t="s">
        <v>84</v>
      </c>
      <c r="E315" s="57"/>
      <c r="F315" s="57"/>
      <c r="G315" s="57"/>
      <c r="H315" s="57"/>
      <c r="I315" s="8"/>
      <c r="J315" s="59">
        <f t="shared" si="40"/>
        <v>0</v>
      </c>
      <c r="K315" s="4"/>
      <c r="L315" s="4"/>
      <c r="M315" s="4"/>
      <c r="N315" s="4"/>
    </row>
    <row r="316" spans="1:14" ht="20.25" customHeight="1">
      <c r="A316" s="106">
        <v>316</v>
      </c>
      <c r="B316" s="169"/>
      <c r="C316" s="314">
        <v>1503</v>
      </c>
      <c r="D316" s="59" t="s">
        <v>85</v>
      </c>
      <c r="E316" s="57"/>
      <c r="F316" s="57"/>
      <c r="G316" s="57"/>
      <c r="H316" s="57"/>
      <c r="I316" s="8">
        <v>46733</v>
      </c>
      <c r="J316" s="59">
        <f t="shared" si="40"/>
        <v>46733</v>
      </c>
      <c r="K316" s="4"/>
      <c r="L316" s="4"/>
      <c r="M316" s="4"/>
      <c r="N316" s="4"/>
    </row>
    <row r="317" spans="1:14" ht="20.25" customHeight="1">
      <c r="A317" s="106">
        <v>317</v>
      </c>
      <c r="B317" s="169"/>
      <c r="C317" s="314">
        <v>1504</v>
      </c>
      <c r="D317" s="59" t="s">
        <v>86</v>
      </c>
      <c r="E317" s="57"/>
      <c r="F317" s="57"/>
      <c r="G317" s="57"/>
      <c r="H317" s="57"/>
      <c r="I317" s="8">
        <f>5807+40000+8183.82</f>
        <v>53990.82</v>
      </c>
      <c r="J317" s="59">
        <f t="shared" si="40"/>
        <v>53991</v>
      </c>
      <c r="K317" s="4"/>
      <c r="L317" s="4"/>
      <c r="M317" s="4"/>
      <c r="N317" s="4"/>
    </row>
    <row r="318" spans="1:14" ht="20.25" customHeight="1">
      <c r="A318" s="106">
        <v>318</v>
      </c>
      <c r="B318" s="169"/>
      <c r="C318" s="314">
        <v>1505</v>
      </c>
      <c r="D318" s="59" t="s">
        <v>87</v>
      </c>
      <c r="E318" s="57"/>
      <c r="F318" s="57"/>
      <c r="G318" s="57"/>
      <c r="H318" s="57"/>
      <c r="I318" s="8">
        <f>10698.25+5673</f>
        <v>16371.25</v>
      </c>
      <c r="J318" s="59">
        <f t="shared" si="40"/>
        <v>16371</v>
      </c>
      <c r="K318" s="4"/>
      <c r="L318" s="4"/>
      <c r="M318" s="4"/>
      <c r="N318" s="4"/>
    </row>
    <row r="319" spans="1:14" ht="20.25" customHeight="1">
      <c r="A319" s="106">
        <v>319</v>
      </c>
      <c r="B319" s="169"/>
      <c r="C319" s="314">
        <v>1506</v>
      </c>
      <c r="D319" s="59" t="s">
        <v>88</v>
      </c>
      <c r="E319" s="57"/>
      <c r="F319" s="57"/>
      <c r="G319" s="57"/>
      <c r="H319" s="57"/>
      <c r="I319" s="8">
        <f>18486+8980</f>
        <v>27466</v>
      </c>
      <c r="J319" s="59">
        <f t="shared" si="40"/>
        <v>27466</v>
      </c>
      <c r="K319" s="4"/>
      <c r="L319" s="4"/>
      <c r="M319" s="4"/>
      <c r="N319" s="4"/>
    </row>
    <row r="320" spans="1:14" ht="20.25" customHeight="1">
      <c r="A320" s="106">
        <v>320</v>
      </c>
      <c r="B320" s="169"/>
      <c r="C320" s="314">
        <v>1509</v>
      </c>
      <c r="D320" s="307" t="s">
        <v>89</v>
      </c>
      <c r="E320" s="57"/>
      <c r="F320" s="57"/>
      <c r="G320" s="57"/>
      <c r="H320" s="57"/>
      <c r="I320" s="59">
        <f>ROUND(SUM(I314:I319),0)</f>
        <v>296561</v>
      </c>
      <c r="J320" s="59">
        <f t="shared" si="40"/>
        <v>296561</v>
      </c>
      <c r="K320" s="4"/>
      <c r="L320" s="4"/>
      <c r="M320" s="4"/>
      <c r="N320" s="4"/>
    </row>
    <row r="321" spans="1:14" ht="30" customHeight="1">
      <c r="A321" s="106"/>
      <c r="B321" s="4"/>
      <c r="C321" s="311"/>
      <c r="D321" s="13" t="s">
        <v>135</v>
      </c>
      <c r="E321" s="4"/>
      <c r="F321" s="4"/>
      <c r="G321" s="4"/>
      <c r="H321" s="4"/>
      <c r="I321" s="4"/>
      <c r="J321" s="4"/>
      <c r="K321" s="4"/>
      <c r="L321" s="4"/>
      <c r="M321" s="4"/>
      <c r="N321" s="4"/>
    </row>
    <row r="322" spans="1:14" ht="20.25" customHeight="1">
      <c r="A322" s="106">
        <v>322</v>
      </c>
      <c r="B322" s="169"/>
      <c r="C322" s="314">
        <v>1521</v>
      </c>
      <c r="D322" s="319" t="s">
        <v>91</v>
      </c>
      <c r="E322" s="57"/>
      <c r="F322" s="57"/>
      <c r="G322" s="57"/>
      <c r="H322" s="57"/>
      <c r="I322" s="8">
        <v>15295</v>
      </c>
      <c r="J322" s="59">
        <f t="shared" ref="J322:J328" si="41">ROUND(I322,0)</f>
        <v>15295</v>
      </c>
      <c r="K322" s="4"/>
      <c r="L322" s="4"/>
      <c r="M322" s="4"/>
      <c r="N322" s="4"/>
    </row>
    <row r="323" spans="1:14" ht="20.25" customHeight="1">
      <c r="A323" s="106">
        <v>323</v>
      </c>
      <c r="B323" s="169"/>
      <c r="C323" s="314">
        <v>1522</v>
      </c>
      <c r="D323" s="319" t="s">
        <v>84</v>
      </c>
      <c r="E323" s="57"/>
      <c r="F323" s="57"/>
      <c r="G323" s="57"/>
      <c r="H323" s="57"/>
      <c r="I323" s="8"/>
      <c r="J323" s="59">
        <f t="shared" si="41"/>
        <v>0</v>
      </c>
      <c r="K323" s="4"/>
      <c r="L323" s="4"/>
      <c r="M323" s="4"/>
      <c r="N323" s="4"/>
    </row>
    <row r="324" spans="1:14" ht="20.25" customHeight="1">
      <c r="A324" s="106">
        <v>324</v>
      </c>
      <c r="B324" s="169"/>
      <c r="C324" s="314">
        <v>1523</v>
      </c>
      <c r="D324" s="319" t="s">
        <v>85</v>
      </c>
      <c r="E324" s="57"/>
      <c r="F324" s="57"/>
      <c r="G324" s="57"/>
      <c r="H324" s="57"/>
      <c r="I324" s="8"/>
      <c r="J324" s="59">
        <f t="shared" si="41"/>
        <v>0</v>
      </c>
      <c r="K324" s="4"/>
      <c r="L324" s="4"/>
      <c r="M324" s="4"/>
      <c r="N324" s="4"/>
    </row>
    <row r="325" spans="1:14" ht="20.25" customHeight="1">
      <c r="A325" s="106">
        <v>325</v>
      </c>
      <c r="B325" s="169"/>
      <c r="C325" s="314">
        <v>1524</v>
      </c>
      <c r="D325" s="319" t="s">
        <v>86</v>
      </c>
      <c r="E325" s="57"/>
      <c r="F325" s="57"/>
      <c r="G325" s="57"/>
      <c r="H325" s="57"/>
      <c r="I325" s="8"/>
      <c r="J325" s="59">
        <f t="shared" si="41"/>
        <v>0</v>
      </c>
      <c r="K325" s="4"/>
      <c r="L325" s="4"/>
      <c r="M325" s="4"/>
      <c r="N325" s="4"/>
    </row>
    <row r="326" spans="1:14" ht="20.25" customHeight="1">
      <c r="A326" s="106">
        <v>326</v>
      </c>
      <c r="B326" s="169"/>
      <c r="C326" s="314">
        <v>1525</v>
      </c>
      <c r="D326" s="319" t="s">
        <v>87</v>
      </c>
      <c r="E326" s="57"/>
      <c r="F326" s="57"/>
      <c r="G326" s="57"/>
      <c r="H326" s="57"/>
      <c r="I326" s="8"/>
      <c r="J326" s="59">
        <f t="shared" si="41"/>
        <v>0</v>
      </c>
      <c r="K326" s="4"/>
      <c r="L326" s="4"/>
      <c r="M326" s="4"/>
      <c r="N326" s="4"/>
    </row>
    <row r="327" spans="1:14" ht="20.25" customHeight="1">
      <c r="A327" s="106">
        <v>327</v>
      </c>
      <c r="B327" s="169"/>
      <c r="C327" s="314">
        <v>1526</v>
      </c>
      <c r="D327" s="319" t="s">
        <v>88</v>
      </c>
      <c r="E327" s="57"/>
      <c r="F327" s="57"/>
      <c r="G327" s="57"/>
      <c r="H327" s="57"/>
      <c r="I327" s="8"/>
      <c r="J327" s="59">
        <f t="shared" si="41"/>
        <v>0</v>
      </c>
      <c r="K327" s="4"/>
      <c r="L327" s="4"/>
      <c r="M327" s="4"/>
      <c r="N327" s="4"/>
    </row>
    <row r="328" spans="1:14" ht="20.25" customHeight="1">
      <c r="A328" s="106">
        <v>328</v>
      </c>
      <c r="B328" s="169"/>
      <c r="C328" s="314">
        <v>1529</v>
      </c>
      <c r="D328" s="320" t="s">
        <v>89</v>
      </c>
      <c r="E328" s="57"/>
      <c r="F328" s="57"/>
      <c r="G328" s="57"/>
      <c r="H328" s="57"/>
      <c r="I328" s="59">
        <f>ROUND(SUM(I322:I327),0)</f>
        <v>15295</v>
      </c>
      <c r="J328" s="59">
        <f t="shared" si="41"/>
        <v>15295</v>
      </c>
      <c r="K328" s="4"/>
      <c r="L328" s="4"/>
      <c r="M328" s="4"/>
      <c r="N328" s="4"/>
    </row>
    <row r="329" spans="1:14" ht="30" customHeight="1">
      <c r="A329" s="106"/>
      <c r="B329" s="4"/>
      <c r="C329" s="311"/>
      <c r="D329" s="13" t="s">
        <v>136</v>
      </c>
      <c r="E329" s="4"/>
      <c r="F329" s="4"/>
      <c r="G329" s="4"/>
      <c r="H329" s="4"/>
      <c r="I329" s="4"/>
      <c r="J329" s="4"/>
      <c r="K329" s="4"/>
      <c r="L329" s="4"/>
      <c r="M329" s="4"/>
      <c r="N329" s="4"/>
    </row>
    <row r="330" spans="1:14" ht="20.25" customHeight="1">
      <c r="A330" s="106">
        <v>330</v>
      </c>
      <c r="B330" s="169"/>
      <c r="C330" s="314">
        <v>1541</v>
      </c>
      <c r="D330" s="59" t="s">
        <v>91</v>
      </c>
      <c r="E330" s="57"/>
      <c r="F330" s="57"/>
      <c r="G330" s="57"/>
      <c r="H330" s="57"/>
      <c r="I330" s="8"/>
      <c r="J330" s="59">
        <f t="shared" ref="J330:J336" si="42">ROUND(I330,0)</f>
        <v>0</v>
      </c>
      <c r="K330" s="4"/>
      <c r="L330" s="4"/>
      <c r="M330" s="4"/>
      <c r="N330" s="4"/>
    </row>
    <row r="331" spans="1:14" ht="20.25" customHeight="1">
      <c r="A331" s="106">
        <v>331</v>
      </c>
      <c r="B331" s="169"/>
      <c r="C331" s="314">
        <v>1542</v>
      </c>
      <c r="D331" s="59" t="s">
        <v>84</v>
      </c>
      <c r="E331" s="57"/>
      <c r="F331" s="57"/>
      <c r="G331" s="57"/>
      <c r="H331" s="57"/>
      <c r="I331" s="8"/>
      <c r="J331" s="59">
        <f t="shared" si="42"/>
        <v>0</v>
      </c>
      <c r="K331" s="4"/>
      <c r="L331" s="4"/>
      <c r="M331" s="4"/>
      <c r="N331" s="4"/>
    </row>
    <row r="332" spans="1:14" ht="20.25" customHeight="1">
      <c r="A332" s="106">
        <v>332</v>
      </c>
      <c r="B332" s="169"/>
      <c r="C332" s="314">
        <v>1543</v>
      </c>
      <c r="D332" s="59" t="s">
        <v>85</v>
      </c>
      <c r="E332" s="57"/>
      <c r="F332" s="57"/>
      <c r="G332" s="57"/>
      <c r="H332" s="57"/>
      <c r="I332" s="8"/>
      <c r="J332" s="59">
        <f t="shared" si="42"/>
        <v>0</v>
      </c>
      <c r="K332" s="4"/>
      <c r="L332" s="4"/>
      <c r="M332" s="4"/>
      <c r="N332" s="4"/>
    </row>
    <row r="333" spans="1:14" ht="20.25" customHeight="1">
      <c r="A333" s="106">
        <v>333</v>
      </c>
      <c r="B333" s="169"/>
      <c r="C333" s="314">
        <v>1544</v>
      </c>
      <c r="D333" s="59" t="s">
        <v>86</v>
      </c>
      <c r="E333" s="57"/>
      <c r="F333" s="57"/>
      <c r="G333" s="57"/>
      <c r="H333" s="57"/>
      <c r="I333" s="8"/>
      <c r="J333" s="59">
        <f t="shared" si="42"/>
        <v>0</v>
      </c>
      <c r="K333" s="4"/>
      <c r="L333" s="4"/>
      <c r="M333" s="4"/>
      <c r="N333" s="4"/>
    </row>
    <row r="334" spans="1:14" ht="20.25" customHeight="1">
      <c r="A334" s="106">
        <v>334</v>
      </c>
      <c r="B334" s="169"/>
      <c r="C334" s="314">
        <v>1545</v>
      </c>
      <c r="D334" s="59" t="s">
        <v>87</v>
      </c>
      <c r="E334" s="57"/>
      <c r="F334" s="57"/>
      <c r="G334" s="57"/>
      <c r="H334" s="57"/>
      <c r="I334" s="8"/>
      <c r="J334" s="59">
        <f t="shared" si="42"/>
        <v>0</v>
      </c>
      <c r="K334" s="4"/>
      <c r="L334" s="4"/>
      <c r="M334" s="4"/>
      <c r="N334" s="4"/>
    </row>
    <row r="335" spans="1:14" ht="20.25" customHeight="1">
      <c r="A335" s="106">
        <v>335</v>
      </c>
      <c r="B335" s="169"/>
      <c r="C335" s="314">
        <v>1546</v>
      </c>
      <c r="D335" s="59" t="s">
        <v>88</v>
      </c>
      <c r="E335" s="57"/>
      <c r="F335" s="57"/>
      <c r="G335" s="57"/>
      <c r="H335" s="57"/>
      <c r="I335" s="8"/>
      <c r="J335" s="59">
        <f t="shared" si="42"/>
        <v>0</v>
      </c>
      <c r="K335" s="4"/>
      <c r="L335" s="4"/>
      <c r="M335" s="4"/>
      <c r="N335" s="4"/>
    </row>
    <row r="336" spans="1:14" ht="20.25" customHeight="1">
      <c r="A336" s="106">
        <v>336</v>
      </c>
      <c r="B336" s="169"/>
      <c r="C336" s="314">
        <v>1549</v>
      </c>
      <c r="D336" s="307" t="s">
        <v>89</v>
      </c>
      <c r="E336" s="180"/>
      <c r="F336" s="180"/>
      <c r="G336" s="180"/>
      <c r="H336" s="180"/>
      <c r="I336" s="59">
        <f>ROUND(SUM(I330:I335),0)</f>
        <v>0</v>
      </c>
      <c r="J336" s="59">
        <f t="shared" si="42"/>
        <v>0</v>
      </c>
      <c r="K336" s="4"/>
      <c r="L336" s="4"/>
      <c r="M336" s="4"/>
      <c r="N336" s="4"/>
    </row>
    <row r="337" spans="1:14" ht="30" customHeight="1">
      <c r="A337" s="106"/>
      <c r="B337" s="4"/>
      <c r="C337" s="311"/>
      <c r="D337" s="77" t="s">
        <v>137</v>
      </c>
      <c r="E337" s="58"/>
      <c r="F337" s="58"/>
      <c r="G337" s="58"/>
      <c r="H337" s="58"/>
      <c r="I337" s="58"/>
      <c r="J337" s="58"/>
      <c r="K337" s="4"/>
      <c r="L337" s="4"/>
      <c r="M337" s="4"/>
      <c r="N337" s="4"/>
    </row>
    <row r="338" spans="1:14" ht="20.25" customHeight="1">
      <c r="A338" s="106">
        <v>338</v>
      </c>
      <c r="B338" s="169"/>
      <c r="C338" s="314">
        <v>1561</v>
      </c>
      <c r="D338" s="59" t="s">
        <v>91</v>
      </c>
      <c r="E338" s="184"/>
      <c r="F338" s="184"/>
      <c r="G338" s="184"/>
      <c r="H338" s="184"/>
      <c r="I338" s="8">
        <f>803662.05-83836</f>
        <v>719826.05</v>
      </c>
      <c r="J338" s="59">
        <f t="shared" ref="J338:J395" si="43">ROUND(I338,0)</f>
        <v>719826</v>
      </c>
      <c r="K338" s="4"/>
      <c r="L338" s="4"/>
      <c r="M338" s="4"/>
      <c r="N338" s="4"/>
    </row>
    <row r="339" spans="1:14" ht="20.25" customHeight="1">
      <c r="A339" s="106">
        <v>339</v>
      </c>
      <c r="B339" s="169"/>
      <c r="C339" s="314">
        <v>1562</v>
      </c>
      <c r="D339" s="59" t="s">
        <v>84</v>
      </c>
      <c r="E339" s="57"/>
      <c r="F339" s="57"/>
      <c r="G339" s="57"/>
      <c r="H339" s="57"/>
      <c r="I339" s="8"/>
      <c r="J339" s="59">
        <f t="shared" si="43"/>
        <v>0</v>
      </c>
      <c r="K339" s="4"/>
      <c r="L339" s="4"/>
      <c r="M339" s="4"/>
      <c r="N339" s="4"/>
    </row>
    <row r="340" spans="1:14" ht="20.25" customHeight="1">
      <c r="A340" s="106">
        <v>340</v>
      </c>
      <c r="B340" s="169"/>
      <c r="C340" s="314">
        <v>1563</v>
      </c>
      <c r="D340" s="59" t="s">
        <v>85</v>
      </c>
      <c r="E340" s="57"/>
      <c r="F340" s="57"/>
      <c r="G340" s="57"/>
      <c r="H340" s="57"/>
      <c r="I340" s="8"/>
      <c r="J340" s="59">
        <f t="shared" si="43"/>
        <v>0</v>
      </c>
      <c r="K340" s="4"/>
      <c r="L340" s="4"/>
      <c r="M340" s="4"/>
      <c r="N340" s="4"/>
    </row>
    <row r="341" spans="1:14" ht="20.25" customHeight="1">
      <c r="A341" s="106">
        <v>341</v>
      </c>
      <c r="B341" s="169"/>
      <c r="C341" s="314">
        <v>1564</v>
      </c>
      <c r="D341" s="59" t="s">
        <v>86</v>
      </c>
      <c r="E341" s="57"/>
      <c r="F341" s="57"/>
      <c r="G341" s="57"/>
      <c r="H341" s="57"/>
      <c r="I341" s="8"/>
      <c r="J341" s="59">
        <f t="shared" si="43"/>
        <v>0</v>
      </c>
      <c r="K341" s="4"/>
      <c r="L341" s="4"/>
      <c r="M341" s="4"/>
      <c r="N341" s="4"/>
    </row>
    <row r="342" spans="1:14" ht="20.25" customHeight="1">
      <c r="A342" s="106">
        <v>342</v>
      </c>
      <c r="B342" s="169"/>
      <c r="C342" s="314">
        <v>1565</v>
      </c>
      <c r="D342" s="59" t="s">
        <v>87</v>
      </c>
      <c r="E342" s="57"/>
      <c r="F342" s="57"/>
      <c r="G342" s="57"/>
      <c r="H342" s="57"/>
      <c r="I342" s="8">
        <v>77963.520000000004</v>
      </c>
      <c r="J342" s="59">
        <f t="shared" si="43"/>
        <v>77964</v>
      </c>
      <c r="K342" s="4"/>
      <c r="L342" s="4"/>
      <c r="M342" s="4"/>
      <c r="N342" s="4"/>
    </row>
    <row r="343" spans="1:14" ht="20.25" customHeight="1">
      <c r="A343" s="106">
        <v>343</v>
      </c>
      <c r="B343" s="169"/>
      <c r="C343" s="314">
        <v>1566</v>
      </c>
      <c r="D343" s="59" t="s">
        <v>88</v>
      </c>
      <c r="E343" s="57"/>
      <c r="F343" s="57"/>
      <c r="G343" s="57"/>
      <c r="H343" s="57"/>
      <c r="I343" s="8">
        <v>5872.5</v>
      </c>
      <c r="J343" s="59">
        <f t="shared" si="43"/>
        <v>5873</v>
      </c>
      <c r="K343" s="4"/>
      <c r="L343" s="4"/>
      <c r="M343" s="4"/>
      <c r="N343" s="4"/>
    </row>
    <row r="344" spans="1:14" ht="20.25" customHeight="1">
      <c r="A344" s="106">
        <v>344</v>
      </c>
      <c r="B344" s="169"/>
      <c r="C344" s="314">
        <v>1569</v>
      </c>
      <c r="D344" s="307" t="s">
        <v>89</v>
      </c>
      <c r="E344" s="57"/>
      <c r="F344" s="57"/>
      <c r="G344" s="57"/>
      <c r="H344" s="57"/>
      <c r="I344" s="59">
        <f>ROUND(SUM(I338:I343),0)</f>
        <v>803662</v>
      </c>
      <c r="J344" s="59">
        <f t="shared" si="43"/>
        <v>803662</v>
      </c>
      <c r="K344" s="4"/>
      <c r="L344" s="4"/>
      <c r="M344" s="4"/>
      <c r="N344" s="4"/>
    </row>
    <row r="345" spans="1:14" ht="24.75" customHeight="1">
      <c r="A345" s="106"/>
      <c r="B345" s="4"/>
      <c r="C345" s="312"/>
      <c r="D345" s="107" t="s">
        <v>138</v>
      </c>
      <c r="E345" s="4"/>
      <c r="F345" s="4"/>
      <c r="G345" s="4"/>
      <c r="H345" s="4"/>
      <c r="I345" s="4"/>
      <c r="J345" s="4"/>
      <c r="K345" s="4"/>
      <c r="L345" s="4"/>
      <c r="M345" s="4"/>
      <c r="N345" s="4"/>
    </row>
    <row r="346" spans="1:14" ht="20.25" customHeight="1">
      <c r="A346" s="106">
        <v>346</v>
      </c>
      <c r="B346" s="169"/>
      <c r="C346" s="314">
        <v>1574</v>
      </c>
      <c r="D346" s="59" t="s">
        <v>86</v>
      </c>
      <c r="E346" s="57"/>
      <c r="F346" s="57"/>
      <c r="G346" s="57"/>
      <c r="H346" s="57"/>
      <c r="I346" s="8">
        <v>115721.05</v>
      </c>
      <c r="J346" s="59">
        <f t="shared" si="43"/>
        <v>115721</v>
      </c>
      <c r="K346" s="4"/>
      <c r="L346" s="4"/>
      <c r="M346" s="4"/>
      <c r="N346" s="4"/>
    </row>
    <row r="347" spans="1:14" ht="20.25" customHeight="1">
      <c r="A347" s="106">
        <v>347</v>
      </c>
      <c r="B347" s="169"/>
      <c r="C347" s="314">
        <v>1575</v>
      </c>
      <c r="D347" s="59" t="s">
        <v>87</v>
      </c>
      <c r="E347" s="57"/>
      <c r="F347" s="57"/>
      <c r="G347" s="57"/>
      <c r="H347" s="57"/>
      <c r="I347" s="8"/>
      <c r="J347" s="59">
        <f t="shared" si="43"/>
        <v>0</v>
      </c>
      <c r="K347" s="4"/>
      <c r="L347" s="4"/>
      <c r="M347" s="4"/>
      <c r="N347" s="4"/>
    </row>
    <row r="348" spans="1:14" ht="20.25" customHeight="1">
      <c r="A348" s="106">
        <v>348</v>
      </c>
      <c r="B348" s="169"/>
      <c r="C348" s="314">
        <v>1576</v>
      </c>
      <c r="D348" s="59" t="s">
        <v>88</v>
      </c>
      <c r="E348" s="57"/>
      <c r="F348" s="57"/>
      <c r="G348" s="57"/>
      <c r="H348" s="57"/>
      <c r="I348" s="8"/>
      <c r="J348" s="59">
        <f t="shared" si="43"/>
        <v>0</v>
      </c>
      <c r="K348" s="4"/>
      <c r="L348" s="4"/>
      <c r="M348" s="4"/>
      <c r="N348" s="4"/>
    </row>
    <row r="349" spans="1:14" ht="20.25" customHeight="1">
      <c r="A349" s="106">
        <v>349</v>
      </c>
      <c r="B349" s="169"/>
      <c r="C349" s="314">
        <v>1579</v>
      </c>
      <c r="D349" s="307" t="s">
        <v>89</v>
      </c>
      <c r="E349" s="57"/>
      <c r="F349" s="57"/>
      <c r="G349" s="57"/>
      <c r="H349" s="57"/>
      <c r="I349" s="59">
        <f>ROUND(SUM(I346:I348),0)</f>
        <v>115721</v>
      </c>
      <c r="J349" s="59">
        <f t="shared" si="43"/>
        <v>115721</v>
      </c>
      <c r="K349" s="4"/>
      <c r="L349" s="4"/>
      <c r="M349" s="4"/>
      <c r="N349" s="4"/>
    </row>
    <row r="350" spans="1:14" ht="27.75" customHeight="1">
      <c r="A350" s="106"/>
      <c r="B350" s="4"/>
      <c r="C350" s="321"/>
      <c r="D350" s="107" t="s">
        <v>139</v>
      </c>
      <c r="E350" s="4"/>
      <c r="F350" s="4"/>
      <c r="G350" s="4"/>
      <c r="H350" s="4"/>
      <c r="I350" s="4"/>
      <c r="J350" s="4"/>
      <c r="K350" s="4"/>
      <c r="L350" s="4"/>
      <c r="M350" s="4"/>
      <c r="N350" s="4"/>
    </row>
    <row r="351" spans="1:14" ht="20.25" customHeight="1">
      <c r="A351" s="106">
        <v>351</v>
      </c>
      <c r="B351" s="169"/>
      <c r="C351" s="314">
        <v>1584</v>
      </c>
      <c r="D351" s="59" t="s">
        <v>86</v>
      </c>
      <c r="E351" s="57"/>
      <c r="F351" s="57"/>
      <c r="G351" s="57"/>
      <c r="H351" s="57"/>
      <c r="I351" s="8">
        <f>16815.3+314180.74</f>
        <v>330996.03999999998</v>
      </c>
      <c r="J351" s="59">
        <f t="shared" si="43"/>
        <v>330996</v>
      </c>
      <c r="K351" s="4"/>
      <c r="L351" s="4"/>
      <c r="M351" s="4"/>
      <c r="N351" s="4"/>
    </row>
    <row r="352" spans="1:14" ht="20.25" customHeight="1">
      <c r="A352" s="106">
        <v>352</v>
      </c>
      <c r="B352" s="169"/>
      <c r="C352" s="314">
        <v>1585</v>
      </c>
      <c r="D352" s="59" t="s">
        <v>87</v>
      </c>
      <c r="E352" s="57"/>
      <c r="F352" s="57"/>
      <c r="G352" s="57"/>
      <c r="H352" s="57"/>
      <c r="I352" s="8">
        <f>13926.96+20882.01</f>
        <v>34808.97</v>
      </c>
      <c r="J352" s="59">
        <f t="shared" si="43"/>
        <v>34809</v>
      </c>
      <c r="K352" s="4"/>
      <c r="L352" s="4"/>
      <c r="M352" s="4"/>
      <c r="N352" s="4"/>
    </row>
    <row r="353" spans="1:14" ht="20.25" customHeight="1">
      <c r="A353" s="106">
        <v>353</v>
      </c>
      <c r="B353" s="169"/>
      <c r="C353" s="314">
        <v>1586</v>
      </c>
      <c r="D353" s="59" t="s">
        <v>88</v>
      </c>
      <c r="E353" s="57"/>
      <c r="F353" s="57"/>
      <c r="G353" s="57"/>
      <c r="H353" s="57"/>
      <c r="I353" s="8">
        <v>6216.48</v>
      </c>
      <c r="J353" s="59">
        <f t="shared" si="43"/>
        <v>6216</v>
      </c>
      <c r="K353" s="4"/>
      <c r="L353" s="4"/>
      <c r="M353" s="4"/>
      <c r="N353" s="4"/>
    </row>
    <row r="354" spans="1:14" ht="20.25" customHeight="1">
      <c r="A354" s="106">
        <v>354</v>
      </c>
      <c r="B354" s="169"/>
      <c r="C354" s="314">
        <v>1589</v>
      </c>
      <c r="D354" s="307" t="s">
        <v>89</v>
      </c>
      <c r="E354" s="57"/>
      <c r="F354" s="57"/>
      <c r="G354" s="57"/>
      <c r="H354" s="57"/>
      <c r="I354" s="59">
        <f>ROUND(SUM(I351:I353),0)</f>
        <v>372021</v>
      </c>
      <c r="J354" s="59">
        <f t="shared" si="43"/>
        <v>372021</v>
      </c>
      <c r="K354" s="4"/>
      <c r="L354" s="4"/>
      <c r="M354" s="4"/>
      <c r="N354" s="4"/>
    </row>
    <row r="355" spans="1:14" ht="27.75" customHeight="1">
      <c r="A355" s="106"/>
      <c r="B355" s="4"/>
      <c r="C355" s="311"/>
      <c r="D355" s="77" t="s">
        <v>140</v>
      </c>
      <c r="E355" s="58"/>
      <c r="F355" s="58"/>
      <c r="G355" s="58"/>
      <c r="H355" s="58"/>
      <c r="I355" s="58"/>
      <c r="J355" s="58"/>
      <c r="K355" s="4"/>
      <c r="L355" s="4"/>
      <c r="M355" s="4"/>
      <c r="N355" s="4"/>
    </row>
    <row r="356" spans="1:14" ht="20.25" customHeight="1">
      <c r="A356" s="106">
        <v>356</v>
      </c>
      <c r="B356" s="169"/>
      <c r="C356" s="314">
        <v>1591</v>
      </c>
      <c r="D356" s="59" t="s">
        <v>91</v>
      </c>
      <c r="E356" s="57"/>
      <c r="F356" s="57"/>
      <c r="G356" s="57"/>
      <c r="H356" s="57"/>
      <c r="I356" s="8"/>
      <c r="J356" s="59">
        <f t="shared" si="43"/>
        <v>0</v>
      </c>
      <c r="K356" s="4"/>
      <c r="L356" s="4"/>
      <c r="M356" s="4"/>
      <c r="N356" s="4"/>
    </row>
    <row r="357" spans="1:14" ht="20.25" customHeight="1">
      <c r="A357" s="106">
        <v>357</v>
      </c>
      <c r="B357" s="169"/>
      <c r="C357" s="314">
        <v>1592</v>
      </c>
      <c r="D357" s="59" t="s">
        <v>84</v>
      </c>
      <c r="E357" s="57"/>
      <c r="F357" s="57"/>
      <c r="G357" s="57"/>
      <c r="H357" s="57"/>
      <c r="I357" s="8"/>
      <c r="J357" s="59">
        <f t="shared" si="43"/>
        <v>0</v>
      </c>
      <c r="K357" s="4"/>
      <c r="L357" s="4"/>
      <c r="M357" s="4"/>
      <c r="N357" s="4"/>
    </row>
    <row r="358" spans="1:14" ht="20.25" customHeight="1">
      <c r="A358" s="106">
        <v>358</v>
      </c>
      <c r="B358" s="169"/>
      <c r="C358" s="314">
        <v>1593</v>
      </c>
      <c r="D358" s="59" t="s">
        <v>85</v>
      </c>
      <c r="E358" s="57"/>
      <c r="F358" s="57"/>
      <c r="G358" s="57"/>
      <c r="H358" s="57"/>
      <c r="I358" s="8"/>
      <c r="J358" s="59">
        <f t="shared" si="43"/>
        <v>0</v>
      </c>
      <c r="K358" s="4"/>
      <c r="L358" s="4"/>
      <c r="M358" s="4"/>
      <c r="N358" s="4"/>
    </row>
    <row r="359" spans="1:14" ht="20.25" customHeight="1">
      <c r="A359" s="106">
        <v>359</v>
      </c>
      <c r="B359" s="169"/>
      <c r="C359" s="314">
        <v>1594</v>
      </c>
      <c r="D359" s="59" t="s">
        <v>86</v>
      </c>
      <c r="E359" s="57"/>
      <c r="F359" s="57"/>
      <c r="G359" s="57"/>
      <c r="H359" s="57"/>
      <c r="I359" s="8">
        <v>16815.3</v>
      </c>
      <c r="J359" s="59">
        <f t="shared" si="43"/>
        <v>16815</v>
      </c>
      <c r="K359" s="4"/>
      <c r="L359" s="4"/>
      <c r="M359" s="4"/>
      <c r="N359" s="4"/>
    </row>
    <row r="360" spans="1:14" ht="20.25" customHeight="1">
      <c r="A360" s="106">
        <v>360</v>
      </c>
      <c r="B360" s="169"/>
      <c r="C360" s="314">
        <v>1595</v>
      </c>
      <c r="D360" s="59" t="s">
        <v>87</v>
      </c>
      <c r="E360" s="57"/>
      <c r="F360" s="57"/>
      <c r="G360" s="57"/>
      <c r="H360" s="57"/>
      <c r="I360" s="8">
        <v>13926.96</v>
      </c>
      <c r="J360" s="59">
        <f t="shared" si="43"/>
        <v>13927</v>
      </c>
      <c r="K360" s="4"/>
      <c r="L360" s="4"/>
      <c r="M360" s="4"/>
      <c r="N360" s="4"/>
    </row>
    <row r="361" spans="1:14" ht="20.25" customHeight="1">
      <c r="A361" s="106">
        <v>361</v>
      </c>
      <c r="B361" s="169"/>
      <c r="C361" s="314">
        <v>1596</v>
      </c>
      <c r="D361" s="59" t="s">
        <v>88</v>
      </c>
      <c r="E361" s="57"/>
      <c r="F361" s="57"/>
      <c r="G361" s="57"/>
      <c r="H361" s="57"/>
      <c r="I361" s="8"/>
      <c r="J361" s="59">
        <f t="shared" si="43"/>
        <v>0</v>
      </c>
      <c r="K361" s="4"/>
      <c r="L361" s="4"/>
      <c r="M361" s="4"/>
      <c r="N361" s="4"/>
    </row>
    <row r="362" spans="1:14" ht="20.25" customHeight="1">
      <c r="A362" s="106">
        <v>362</v>
      </c>
      <c r="B362" s="169"/>
      <c r="C362" s="314">
        <v>1599</v>
      </c>
      <c r="D362" s="307" t="s">
        <v>89</v>
      </c>
      <c r="E362" s="57"/>
      <c r="F362" s="57"/>
      <c r="G362" s="57"/>
      <c r="H362" s="57"/>
      <c r="I362" s="59">
        <f>ROUND(SUM(I356:I361),0)</f>
        <v>30742</v>
      </c>
      <c r="J362" s="59">
        <f t="shared" si="43"/>
        <v>30742</v>
      </c>
      <c r="K362" s="4"/>
      <c r="L362" s="4"/>
      <c r="M362" s="4"/>
      <c r="N362" s="4"/>
    </row>
    <row r="363" spans="1:14" ht="27.75" customHeight="1">
      <c r="A363" s="106"/>
      <c r="B363" s="4"/>
      <c r="C363" s="311"/>
      <c r="D363" s="77" t="s">
        <v>141</v>
      </c>
      <c r="E363" s="58"/>
      <c r="F363" s="58"/>
      <c r="G363" s="58"/>
      <c r="H363" s="58"/>
      <c r="I363" s="58"/>
      <c r="J363" s="58"/>
      <c r="K363" s="4"/>
      <c r="L363" s="4"/>
      <c r="M363" s="4"/>
      <c r="N363" s="4"/>
    </row>
    <row r="364" spans="1:14" ht="20.25" customHeight="1">
      <c r="A364" s="106">
        <v>364</v>
      </c>
      <c r="B364" s="169"/>
      <c r="C364" s="314">
        <v>1601</v>
      </c>
      <c r="D364" s="59" t="s">
        <v>91</v>
      </c>
      <c r="E364" s="57"/>
      <c r="F364" s="57"/>
      <c r="G364" s="57"/>
      <c r="H364" s="57"/>
      <c r="I364" s="8"/>
      <c r="J364" s="59">
        <f t="shared" si="43"/>
        <v>0</v>
      </c>
      <c r="K364" s="4"/>
      <c r="L364" s="4"/>
      <c r="M364" s="4"/>
      <c r="N364" s="4"/>
    </row>
    <row r="365" spans="1:14" ht="20.25" customHeight="1">
      <c r="A365" s="106">
        <v>365</v>
      </c>
      <c r="B365" s="169"/>
      <c r="C365" s="314">
        <v>1602</v>
      </c>
      <c r="D365" s="59" t="s">
        <v>84</v>
      </c>
      <c r="E365" s="57"/>
      <c r="F365" s="57"/>
      <c r="G365" s="57"/>
      <c r="H365" s="57"/>
      <c r="I365" s="8"/>
      <c r="J365" s="59">
        <f t="shared" si="43"/>
        <v>0</v>
      </c>
      <c r="K365" s="4"/>
      <c r="L365" s="4"/>
      <c r="M365" s="4"/>
      <c r="N365" s="4"/>
    </row>
    <row r="366" spans="1:14" ht="20.25" customHeight="1">
      <c r="A366" s="106">
        <v>366</v>
      </c>
      <c r="B366" s="169"/>
      <c r="C366" s="314">
        <v>1603</v>
      </c>
      <c r="D366" s="59" t="s">
        <v>85</v>
      </c>
      <c r="E366" s="57"/>
      <c r="F366" s="57"/>
      <c r="G366" s="57"/>
      <c r="H366" s="57"/>
      <c r="I366" s="8"/>
      <c r="J366" s="59">
        <f t="shared" si="43"/>
        <v>0</v>
      </c>
      <c r="K366" s="4"/>
      <c r="L366" s="4"/>
      <c r="M366" s="4"/>
      <c r="N366" s="4"/>
    </row>
    <row r="367" spans="1:14" ht="20.25" customHeight="1">
      <c r="A367" s="106">
        <v>367</v>
      </c>
      <c r="B367" s="169"/>
      <c r="C367" s="314">
        <v>1604</v>
      </c>
      <c r="D367" s="59" t="s">
        <v>86</v>
      </c>
      <c r="E367" s="57"/>
      <c r="F367" s="57"/>
      <c r="G367" s="57"/>
      <c r="H367" s="57"/>
      <c r="I367" s="8">
        <v>314180.74</v>
      </c>
      <c r="J367" s="59">
        <f t="shared" si="43"/>
        <v>314181</v>
      </c>
      <c r="K367" s="4"/>
      <c r="L367" s="4"/>
      <c r="M367" s="4"/>
      <c r="N367" s="4"/>
    </row>
    <row r="368" spans="1:14" ht="20.25" customHeight="1">
      <c r="A368" s="106">
        <v>368</v>
      </c>
      <c r="B368" s="169"/>
      <c r="C368" s="314">
        <v>1605</v>
      </c>
      <c r="D368" s="59" t="s">
        <v>87</v>
      </c>
      <c r="E368" s="57"/>
      <c r="F368" s="57"/>
      <c r="G368" s="57"/>
      <c r="H368" s="57"/>
      <c r="I368" s="8">
        <v>20882.009999999998</v>
      </c>
      <c r="J368" s="59">
        <f t="shared" si="43"/>
        <v>20882</v>
      </c>
      <c r="K368" s="4"/>
      <c r="L368" s="4"/>
      <c r="M368" s="4"/>
      <c r="N368" s="4"/>
    </row>
    <row r="369" spans="1:14" ht="20.25" customHeight="1">
      <c r="A369" s="106">
        <v>369</v>
      </c>
      <c r="B369" s="169"/>
      <c r="C369" s="314">
        <v>1606</v>
      </c>
      <c r="D369" s="59" t="s">
        <v>88</v>
      </c>
      <c r="E369" s="57"/>
      <c r="F369" s="57"/>
      <c r="G369" s="57"/>
      <c r="H369" s="57"/>
      <c r="I369" s="8">
        <v>6216.48</v>
      </c>
      <c r="J369" s="59">
        <f t="shared" si="43"/>
        <v>6216</v>
      </c>
      <c r="K369" s="4"/>
      <c r="L369" s="4"/>
      <c r="M369" s="4"/>
      <c r="N369" s="4"/>
    </row>
    <row r="370" spans="1:14" ht="20.25" customHeight="1">
      <c r="A370" s="106">
        <v>370</v>
      </c>
      <c r="B370" s="169"/>
      <c r="C370" s="314">
        <v>1609</v>
      </c>
      <c r="D370" s="307" t="s">
        <v>89</v>
      </c>
      <c r="E370" s="57"/>
      <c r="F370" s="57"/>
      <c r="G370" s="57"/>
      <c r="H370" s="57"/>
      <c r="I370" s="59">
        <f>ROUND(SUM(I364:I369),0)</f>
        <v>341279</v>
      </c>
      <c r="J370" s="59">
        <f t="shared" si="43"/>
        <v>341279</v>
      </c>
      <c r="K370" s="4"/>
      <c r="L370" s="4"/>
      <c r="M370" s="4"/>
      <c r="N370" s="4"/>
    </row>
    <row r="371" spans="1:14" ht="27.75" customHeight="1">
      <c r="A371" s="106"/>
      <c r="B371" s="4"/>
      <c r="C371" s="311"/>
      <c r="D371" s="107" t="s">
        <v>142</v>
      </c>
      <c r="E371" s="322"/>
      <c r="F371" s="322"/>
      <c r="G371" s="322"/>
      <c r="H371" s="322"/>
      <c r="I371" s="4"/>
      <c r="J371" s="4"/>
      <c r="K371" s="4"/>
      <c r="L371" s="4"/>
      <c r="M371" s="4"/>
      <c r="N371" s="4"/>
    </row>
    <row r="372" spans="1:14" ht="20.25" customHeight="1">
      <c r="A372" s="106">
        <v>372</v>
      </c>
      <c r="B372" s="169"/>
      <c r="C372" s="314">
        <v>1614</v>
      </c>
      <c r="D372" s="59" t="s">
        <v>86</v>
      </c>
      <c r="E372" s="57"/>
      <c r="F372" s="57"/>
      <c r="G372" s="57"/>
      <c r="H372" s="57"/>
      <c r="I372" s="8">
        <v>2130</v>
      </c>
      <c r="J372" s="59">
        <f t="shared" si="43"/>
        <v>2130</v>
      </c>
      <c r="K372" s="4"/>
      <c r="L372" s="4"/>
      <c r="M372" s="4"/>
      <c r="N372" s="4"/>
    </row>
    <row r="373" spans="1:14" ht="20.25" customHeight="1">
      <c r="A373" s="106">
        <v>373</v>
      </c>
      <c r="B373" s="169"/>
      <c r="C373" s="314">
        <v>1615</v>
      </c>
      <c r="D373" s="59" t="s">
        <v>87</v>
      </c>
      <c r="E373" s="57"/>
      <c r="F373" s="57"/>
      <c r="G373" s="57"/>
      <c r="H373" s="57"/>
      <c r="I373" s="8"/>
      <c r="J373" s="59">
        <f t="shared" si="43"/>
        <v>0</v>
      </c>
      <c r="K373" s="4"/>
      <c r="L373" s="4"/>
      <c r="M373" s="4"/>
      <c r="N373" s="4"/>
    </row>
    <row r="374" spans="1:14" ht="20.25" customHeight="1">
      <c r="A374" s="106">
        <v>374</v>
      </c>
      <c r="B374" s="169"/>
      <c r="C374" s="314">
        <v>1616</v>
      </c>
      <c r="D374" s="59" t="s">
        <v>88</v>
      </c>
      <c r="E374" s="57"/>
      <c r="F374" s="57"/>
      <c r="G374" s="57"/>
      <c r="H374" s="57"/>
      <c r="I374" s="8"/>
      <c r="J374" s="59">
        <f t="shared" si="43"/>
        <v>0</v>
      </c>
      <c r="K374" s="4"/>
      <c r="L374" s="4"/>
      <c r="M374" s="4"/>
      <c r="N374" s="4"/>
    </row>
    <row r="375" spans="1:14" ht="20.25" customHeight="1">
      <c r="A375" s="106">
        <v>375</v>
      </c>
      <c r="B375" s="169"/>
      <c r="C375" s="314">
        <v>1619</v>
      </c>
      <c r="D375" s="307" t="s">
        <v>89</v>
      </c>
      <c r="E375" s="57"/>
      <c r="F375" s="57"/>
      <c r="G375" s="57"/>
      <c r="H375" s="57"/>
      <c r="I375" s="59">
        <f>ROUND(SUM(I372:I374),0)</f>
        <v>2130</v>
      </c>
      <c r="J375" s="59">
        <f t="shared" si="43"/>
        <v>2130</v>
      </c>
      <c r="K375" s="4"/>
      <c r="L375" s="4"/>
      <c r="M375" s="4"/>
      <c r="N375" s="4"/>
    </row>
    <row r="376" spans="1:14" ht="24.75" customHeight="1">
      <c r="A376" s="106"/>
      <c r="B376" s="4"/>
      <c r="C376" s="321"/>
      <c r="D376" s="323" t="s">
        <v>143</v>
      </c>
      <c r="E376" s="58"/>
      <c r="F376" s="58"/>
      <c r="G376" s="58"/>
      <c r="H376" s="58"/>
      <c r="I376" s="58"/>
      <c r="J376" s="58"/>
      <c r="K376" s="4"/>
      <c r="L376" s="4"/>
      <c r="M376" s="4"/>
      <c r="N376" s="4"/>
    </row>
    <row r="377" spans="1:14" ht="20.25" customHeight="1">
      <c r="A377" s="106">
        <v>377</v>
      </c>
      <c r="B377" s="169"/>
      <c r="C377" s="314">
        <v>1621</v>
      </c>
      <c r="D377" s="59" t="s">
        <v>91</v>
      </c>
      <c r="E377" s="57"/>
      <c r="F377" s="57"/>
      <c r="G377" s="57"/>
      <c r="H377" s="57"/>
      <c r="I377" s="8"/>
      <c r="J377" s="59">
        <f t="shared" si="43"/>
        <v>0</v>
      </c>
      <c r="K377" s="4"/>
      <c r="L377" s="4"/>
      <c r="M377" s="4"/>
      <c r="N377" s="4"/>
    </row>
    <row r="378" spans="1:14" ht="20.25" customHeight="1">
      <c r="A378" s="106">
        <v>378</v>
      </c>
      <c r="B378" s="169"/>
      <c r="C378" s="314">
        <v>1622</v>
      </c>
      <c r="D378" s="59" t="s">
        <v>84</v>
      </c>
      <c r="E378" s="57"/>
      <c r="F378" s="57"/>
      <c r="G378" s="57"/>
      <c r="H378" s="57"/>
      <c r="I378" s="8"/>
      <c r="J378" s="59">
        <f t="shared" si="43"/>
        <v>0</v>
      </c>
      <c r="K378" s="4"/>
      <c r="L378" s="4"/>
      <c r="M378" s="4"/>
      <c r="N378" s="4"/>
    </row>
    <row r="379" spans="1:14" ht="20.25" customHeight="1">
      <c r="A379" s="106">
        <v>379</v>
      </c>
      <c r="B379" s="169"/>
      <c r="C379" s="314">
        <v>1623</v>
      </c>
      <c r="D379" s="59" t="s">
        <v>85</v>
      </c>
      <c r="E379" s="57"/>
      <c r="F379" s="57"/>
      <c r="G379" s="57"/>
      <c r="H379" s="57"/>
      <c r="I379" s="8"/>
      <c r="J379" s="59">
        <f t="shared" si="43"/>
        <v>0</v>
      </c>
      <c r="K379" s="4"/>
      <c r="L379" s="4"/>
      <c r="M379" s="4"/>
      <c r="N379" s="4"/>
    </row>
    <row r="380" spans="1:14" ht="20.25" customHeight="1">
      <c r="A380" s="106">
        <v>380</v>
      </c>
      <c r="B380" s="169"/>
      <c r="C380" s="314">
        <v>1624</v>
      </c>
      <c r="D380" s="59" t="s">
        <v>86</v>
      </c>
      <c r="E380" s="57"/>
      <c r="F380" s="57"/>
      <c r="G380" s="57"/>
      <c r="H380" s="57"/>
      <c r="I380" s="8">
        <f>644+1000+2322+1625.46+4280.9+9987.69</f>
        <v>19860.050000000003</v>
      </c>
      <c r="J380" s="59">
        <f t="shared" si="43"/>
        <v>19860</v>
      </c>
      <c r="K380" s="4"/>
      <c r="L380" s="4"/>
      <c r="M380" s="4"/>
      <c r="N380" s="4"/>
    </row>
    <row r="381" spans="1:14" ht="20.25" customHeight="1">
      <c r="A381" s="106">
        <v>381</v>
      </c>
      <c r="B381" s="169"/>
      <c r="C381" s="314">
        <v>1625</v>
      </c>
      <c r="D381" s="59" t="s">
        <v>87</v>
      </c>
      <c r="E381" s="57"/>
      <c r="F381" s="57"/>
      <c r="G381" s="57"/>
      <c r="H381" s="57"/>
      <c r="I381" s="8"/>
      <c r="J381" s="59">
        <f t="shared" si="43"/>
        <v>0</v>
      </c>
      <c r="K381" s="4"/>
      <c r="L381" s="4"/>
      <c r="M381" s="4"/>
      <c r="N381" s="4"/>
    </row>
    <row r="382" spans="1:14" ht="20.25" customHeight="1">
      <c r="A382" s="106">
        <v>382</v>
      </c>
      <c r="B382" s="169"/>
      <c r="C382" s="314">
        <v>1626</v>
      </c>
      <c r="D382" s="59" t="s">
        <v>88</v>
      </c>
      <c r="E382" s="57"/>
      <c r="F382" s="57"/>
      <c r="G382" s="57"/>
      <c r="H382" s="57"/>
      <c r="I382" s="8"/>
      <c r="J382" s="59">
        <f t="shared" si="43"/>
        <v>0</v>
      </c>
      <c r="K382" s="4"/>
      <c r="L382" s="4"/>
      <c r="M382" s="4"/>
      <c r="N382" s="4"/>
    </row>
    <row r="383" spans="1:14" ht="20.25" customHeight="1">
      <c r="A383" s="106">
        <v>383</v>
      </c>
      <c r="B383" s="169"/>
      <c r="C383" s="314">
        <v>1629</v>
      </c>
      <c r="D383" s="307" t="s">
        <v>89</v>
      </c>
      <c r="E383" s="57"/>
      <c r="F383" s="57"/>
      <c r="G383" s="57"/>
      <c r="H383" s="57"/>
      <c r="I383" s="59">
        <f>ROUND(SUM(I377:I382),0)</f>
        <v>19860</v>
      </c>
      <c r="J383" s="59">
        <f t="shared" si="43"/>
        <v>19860</v>
      </c>
      <c r="K383" s="4"/>
      <c r="L383" s="4"/>
      <c r="M383" s="4"/>
      <c r="N383" s="4"/>
    </row>
    <row r="384" spans="1:14" ht="30" customHeight="1">
      <c r="A384" s="106"/>
      <c r="B384" s="4"/>
      <c r="C384" s="321"/>
      <c r="D384" s="107" t="s">
        <v>144</v>
      </c>
      <c r="E384" s="4"/>
      <c r="F384" s="4"/>
      <c r="G384" s="4"/>
      <c r="H384" s="4"/>
      <c r="I384" s="4"/>
      <c r="J384" s="4"/>
      <c r="K384" s="4"/>
      <c r="L384" s="4"/>
      <c r="M384" s="4"/>
      <c r="N384" s="4"/>
    </row>
    <row r="385" spans="1:14" ht="20.25" customHeight="1">
      <c r="A385" s="106">
        <v>385</v>
      </c>
      <c r="B385" s="169"/>
      <c r="C385" s="314">
        <v>1634</v>
      </c>
      <c r="D385" s="59" t="s">
        <v>86</v>
      </c>
      <c r="E385" s="57"/>
      <c r="F385" s="57"/>
      <c r="G385" s="57"/>
      <c r="H385" s="57"/>
      <c r="I385" s="8"/>
      <c r="J385" s="59">
        <f t="shared" si="43"/>
        <v>0</v>
      </c>
      <c r="K385" s="4"/>
      <c r="L385" s="4"/>
      <c r="M385" s="4"/>
      <c r="N385" s="4"/>
    </row>
    <row r="386" spans="1:14" ht="20.25" customHeight="1">
      <c r="A386" s="106">
        <v>386</v>
      </c>
      <c r="B386" s="169"/>
      <c r="C386" s="314">
        <v>1635</v>
      </c>
      <c r="D386" s="59" t="s">
        <v>87</v>
      </c>
      <c r="E386" s="57"/>
      <c r="F386" s="57"/>
      <c r="G386" s="57"/>
      <c r="H386" s="57"/>
      <c r="I386" s="8"/>
      <c r="J386" s="59">
        <f t="shared" si="43"/>
        <v>0</v>
      </c>
      <c r="K386" s="4"/>
      <c r="L386" s="4"/>
      <c r="M386" s="4"/>
      <c r="N386" s="4"/>
    </row>
    <row r="387" spans="1:14" ht="20.25" customHeight="1">
      <c r="A387" s="106">
        <v>387</v>
      </c>
      <c r="B387" s="169"/>
      <c r="C387" s="314">
        <v>1636</v>
      </c>
      <c r="D387" s="59" t="s">
        <v>88</v>
      </c>
      <c r="E387" s="57"/>
      <c r="F387" s="57"/>
      <c r="G387" s="57"/>
      <c r="H387" s="57"/>
      <c r="I387" s="8"/>
      <c r="J387" s="59">
        <f t="shared" si="43"/>
        <v>0</v>
      </c>
      <c r="K387" s="4"/>
      <c r="L387" s="4"/>
      <c r="M387" s="4"/>
      <c r="N387" s="4"/>
    </row>
    <row r="388" spans="1:14" ht="20.25" customHeight="1">
      <c r="A388" s="106">
        <v>388</v>
      </c>
      <c r="B388" s="169"/>
      <c r="C388" s="314">
        <v>1639</v>
      </c>
      <c r="D388" s="307" t="s">
        <v>89</v>
      </c>
      <c r="E388" s="57"/>
      <c r="F388" s="57"/>
      <c r="G388" s="57"/>
      <c r="H388" s="57"/>
      <c r="I388" s="59">
        <f>ROUND(SUM(I385:I387),0)</f>
        <v>0</v>
      </c>
      <c r="J388" s="59">
        <f t="shared" si="43"/>
        <v>0</v>
      </c>
      <c r="K388" s="4"/>
      <c r="L388" s="4"/>
      <c r="M388" s="4"/>
      <c r="N388" s="4"/>
    </row>
    <row r="389" spans="1:14" ht="30" customHeight="1">
      <c r="A389" s="106"/>
      <c r="B389" s="4"/>
      <c r="C389" s="321"/>
      <c r="D389" s="77" t="s">
        <v>145</v>
      </c>
      <c r="E389" s="58"/>
      <c r="F389" s="58"/>
      <c r="G389" s="58"/>
      <c r="H389" s="58"/>
      <c r="I389" s="58"/>
      <c r="J389" s="58"/>
      <c r="K389" s="4"/>
      <c r="L389" s="4"/>
      <c r="M389" s="4"/>
      <c r="N389" s="4"/>
    </row>
    <row r="390" spans="1:14" ht="20.25" customHeight="1">
      <c r="A390" s="106">
        <v>390</v>
      </c>
      <c r="B390" s="169"/>
      <c r="C390" s="314">
        <v>1641</v>
      </c>
      <c r="D390" s="59" t="s">
        <v>91</v>
      </c>
      <c r="E390" s="57"/>
      <c r="F390" s="57"/>
      <c r="G390" s="57"/>
      <c r="H390" s="57"/>
      <c r="I390" s="8"/>
      <c r="J390" s="59">
        <f t="shared" si="43"/>
        <v>0</v>
      </c>
      <c r="K390" s="4"/>
      <c r="L390" s="4"/>
      <c r="M390" s="4"/>
      <c r="N390" s="4"/>
    </row>
    <row r="391" spans="1:14" ht="20.25" customHeight="1">
      <c r="A391" s="106">
        <v>391</v>
      </c>
      <c r="B391" s="169"/>
      <c r="C391" s="314">
        <v>1642</v>
      </c>
      <c r="D391" s="59" t="s">
        <v>84</v>
      </c>
      <c r="E391" s="57"/>
      <c r="F391" s="57"/>
      <c r="G391" s="57"/>
      <c r="H391" s="57"/>
      <c r="I391" s="8"/>
      <c r="J391" s="59">
        <f t="shared" si="43"/>
        <v>0</v>
      </c>
      <c r="K391" s="4"/>
      <c r="L391" s="4"/>
      <c r="M391" s="4"/>
      <c r="N391" s="4"/>
    </row>
    <row r="392" spans="1:14" ht="20.25" customHeight="1">
      <c r="A392" s="106">
        <v>392</v>
      </c>
      <c r="B392" s="169"/>
      <c r="C392" s="314">
        <v>1643</v>
      </c>
      <c r="D392" s="59" t="s">
        <v>85</v>
      </c>
      <c r="E392" s="57"/>
      <c r="F392" s="57"/>
      <c r="G392" s="57"/>
      <c r="H392" s="57"/>
      <c r="I392" s="8"/>
      <c r="J392" s="59">
        <f t="shared" si="43"/>
        <v>0</v>
      </c>
      <c r="K392" s="4"/>
      <c r="L392" s="4"/>
      <c r="M392" s="4"/>
      <c r="N392" s="4"/>
    </row>
    <row r="393" spans="1:14" ht="20.25" customHeight="1">
      <c r="A393" s="106">
        <v>393</v>
      </c>
      <c r="B393" s="169"/>
      <c r="C393" s="314">
        <v>1649</v>
      </c>
      <c r="D393" s="307" t="s">
        <v>89</v>
      </c>
      <c r="E393" s="57"/>
      <c r="F393" s="57"/>
      <c r="G393" s="57"/>
      <c r="H393" s="57"/>
      <c r="I393" s="59">
        <f>ROUND(SUM(I390:I392),0)</f>
        <v>0</v>
      </c>
      <c r="J393" s="59">
        <f t="shared" si="43"/>
        <v>0</v>
      </c>
      <c r="K393" s="4"/>
      <c r="L393" s="4"/>
      <c r="M393" s="4"/>
      <c r="N393" s="4"/>
    </row>
    <row r="394" spans="1:14" ht="30" customHeight="1">
      <c r="A394" s="106"/>
      <c r="B394" s="4"/>
      <c r="C394" s="311"/>
      <c r="D394" s="77" t="s">
        <v>146</v>
      </c>
      <c r="E394" s="58"/>
      <c r="F394" s="58"/>
      <c r="G394" s="58"/>
      <c r="H394" s="58"/>
      <c r="I394" s="58"/>
      <c r="J394" s="58"/>
      <c r="K394" s="4"/>
      <c r="L394" s="4"/>
      <c r="M394" s="4"/>
      <c r="N394" s="4"/>
    </row>
    <row r="395" spans="1:14" ht="20.25" customHeight="1">
      <c r="A395" s="106">
        <v>395</v>
      </c>
      <c r="B395" s="169"/>
      <c r="C395" s="314">
        <v>1654</v>
      </c>
      <c r="D395" s="59" t="s">
        <v>86</v>
      </c>
      <c r="E395" s="57"/>
      <c r="F395" s="57"/>
      <c r="G395" s="57"/>
      <c r="H395" s="57"/>
      <c r="I395" s="8">
        <f>18828+2547</f>
        <v>21375</v>
      </c>
      <c r="J395" s="59">
        <f t="shared" si="43"/>
        <v>21375</v>
      </c>
      <c r="K395" s="4"/>
      <c r="L395" s="4"/>
      <c r="M395" s="4"/>
      <c r="N395" s="4"/>
    </row>
    <row r="396" spans="1:14" ht="20.25" customHeight="1">
      <c r="A396" s="106">
        <v>396</v>
      </c>
      <c r="B396" s="169"/>
      <c r="C396" s="314">
        <v>1655</v>
      </c>
      <c r="D396" s="59" t="s">
        <v>87</v>
      </c>
      <c r="E396" s="57"/>
      <c r="F396" s="57"/>
      <c r="G396" s="57"/>
      <c r="H396" s="57"/>
      <c r="I396" s="8">
        <v>698.77</v>
      </c>
      <c r="J396" s="59">
        <f>ROUND(I396,0)</f>
        <v>699</v>
      </c>
      <c r="K396" s="4"/>
      <c r="L396" s="4"/>
      <c r="M396" s="4"/>
      <c r="N396" s="4"/>
    </row>
    <row r="397" spans="1:14" ht="20.25" customHeight="1">
      <c r="A397" s="106">
        <v>397</v>
      </c>
      <c r="B397" s="169"/>
      <c r="C397" s="314">
        <v>1656</v>
      </c>
      <c r="D397" s="59" t="s">
        <v>88</v>
      </c>
      <c r="E397" s="57"/>
      <c r="F397" s="57"/>
      <c r="G397" s="57"/>
      <c r="H397" s="57"/>
      <c r="I397" s="8">
        <v>464479</v>
      </c>
      <c r="J397" s="59">
        <f>ROUND(I397,0)</f>
        <v>464479</v>
      </c>
      <c r="K397" s="4"/>
      <c r="L397" s="4"/>
      <c r="M397" s="4"/>
      <c r="N397" s="4"/>
    </row>
    <row r="398" spans="1:14" ht="20.25" customHeight="1">
      <c r="A398" s="106">
        <v>398</v>
      </c>
      <c r="B398" s="169"/>
      <c r="C398" s="314">
        <v>1659</v>
      </c>
      <c r="D398" s="307" t="s">
        <v>89</v>
      </c>
      <c r="E398" s="57"/>
      <c r="F398" s="57"/>
      <c r="G398" s="57"/>
      <c r="H398" s="57"/>
      <c r="I398" s="59">
        <f>ROUND(SUM(I395:I397),0)</f>
        <v>486553</v>
      </c>
      <c r="J398" s="59">
        <f>ROUND(I398,0)</f>
        <v>486553</v>
      </c>
      <c r="K398" s="4"/>
      <c r="L398" s="4"/>
      <c r="M398" s="4"/>
      <c r="N398" s="4"/>
    </row>
    <row r="399" spans="1:14" ht="24.75" customHeight="1">
      <c r="A399" s="106"/>
      <c r="B399" s="4"/>
      <c r="C399" s="312"/>
      <c r="D399" s="107" t="s">
        <v>147</v>
      </c>
      <c r="E399" s="4"/>
      <c r="F399" s="4"/>
      <c r="G399" s="4"/>
      <c r="H399" s="4"/>
      <c r="I399" s="4"/>
      <c r="J399" s="4"/>
      <c r="K399" s="4"/>
      <c r="L399" s="4"/>
      <c r="M399" s="4"/>
      <c r="N399" s="4"/>
    </row>
    <row r="400" spans="1:14" ht="20.25" customHeight="1">
      <c r="A400" s="106">
        <v>400</v>
      </c>
      <c r="B400" s="169"/>
      <c r="C400" s="314">
        <v>1661</v>
      </c>
      <c r="D400" s="59" t="s">
        <v>147</v>
      </c>
      <c r="E400" s="57"/>
      <c r="F400" s="57"/>
      <c r="G400" s="57"/>
      <c r="H400" s="57"/>
      <c r="I400" s="8"/>
      <c r="J400" s="59">
        <f>ROUND(I400,0)</f>
        <v>0</v>
      </c>
      <c r="K400" s="4"/>
      <c r="L400" s="4"/>
      <c r="M400" s="4"/>
      <c r="N400" s="4"/>
    </row>
    <row r="401" spans="1:14" ht="38.25" customHeight="1">
      <c r="A401" s="106"/>
      <c r="B401" s="324"/>
      <c r="C401" s="312"/>
      <c r="D401" s="107" t="s">
        <v>148</v>
      </c>
      <c r="E401" s="4"/>
      <c r="F401" s="4"/>
      <c r="G401" s="4"/>
      <c r="H401" s="4"/>
      <c r="I401" s="4"/>
      <c r="J401" s="4"/>
      <c r="K401" s="4"/>
      <c r="L401" s="4"/>
      <c r="M401" s="4"/>
      <c r="N401" s="4"/>
    </row>
    <row r="402" spans="1:14" ht="20.25" customHeight="1">
      <c r="A402" s="106">
        <v>402</v>
      </c>
      <c r="B402" s="325"/>
      <c r="C402" s="314">
        <v>1664</v>
      </c>
      <c r="D402" s="59" t="s">
        <v>91</v>
      </c>
      <c r="E402" s="57"/>
      <c r="F402" s="57"/>
      <c r="G402" s="57"/>
      <c r="H402" s="57"/>
      <c r="I402" s="8"/>
      <c r="J402" s="59">
        <f>ROUND(I402,0)</f>
        <v>0</v>
      </c>
      <c r="K402" s="4"/>
      <c r="L402" s="4"/>
      <c r="M402" s="4"/>
      <c r="N402" s="4"/>
    </row>
    <row r="403" spans="1:14" ht="20.25" customHeight="1">
      <c r="A403" s="106">
        <v>403</v>
      </c>
      <c r="B403" s="325"/>
      <c r="C403" s="314">
        <v>1665</v>
      </c>
      <c r="D403" s="59" t="s">
        <v>84</v>
      </c>
      <c r="E403" s="57"/>
      <c r="F403" s="57"/>
      <c r="G403" s="57"/>
      <c r="H403" s="57"/>
      <c r="I403" s="8"/>
      <c r="J403" s="59">
        <f>ROUND(I403,0)</f>
        <v>0</v>
      </c>
      <c r="K403" s="4"/>
      <c r="L403" s="4"/>
      <c r="M403" s="4"/>
      <c r="N403" s="4"/>
    </row>
    <row r="404" spans="1:14" ht="20.25" customHeight="1">
      <c r="A404" s="106">
        <v>404</v>
      </c>
      <c r="B404" s="325"/>
      <c r="C404" s="314">
        <v>1666</v>
      </c>
      <c r="D404" s="59" t="s">
        <v>85</v>
      </c>
      <c r="E404" s="57"/>
      <c r="F404" s="57"/>
      <c r="G404" s="57"/>
      <c r="H404" s="57"/>
      <c r="I404" s="8"/>
      <c r="J404" s="59">
        <f>ROUND(I404,0)</f>
        <v>0</v>
      </c>
      <c r="K404" s="4"/>
      <c r="L404" s="4"/>
      <c r="M404" s="4"/>
      <c r="N404" s="4"/>
    </row>
    <row r="405" spans="1:14" ht="20.25" customHeight="1">
      <c r="A405" s="106">
        <v>405</v>
      </c>
      <c r="B405" s="325"/>
      <c r="C405" s="314">
        <v>1667</v>
      </c>
      <c r="D405" s="59" t="s">
        <v>86</v>
      </c>
      <c r="E405" s="57"/>
      <c r="F405" s="57"/>
      <c r="G405" s="57"/>
      <c r="H405" s="57"/>
      <c r="I405" s="8"/>
      <c r="J405" s="59">
        <f>ROUND(I405,0)</f>
        <v>0</v>
      </c>
      <c r="K405" s="4"/>
      <c r="L405" s="4"/>
      <c r="M405" s="4"/>
      <c r="N405" s="4"/>
    </row>
    <row r="406" spans="1:14" ht="20.25" customHeight="1">
      <c r="A406" s="106">
        <v>406</v>
      </c>
      <c r="B406" s="325"/>
      <c r="C406" s="314">
        <v>1669</v>
      </c>
      <c r="D406" s="307" t="s">
        <v>89</v>
      </c>
      <c r="E406" s="57"/>
      <c r="F406" s="57"/>
      <c r="G406" s="57"/>
      <c r="H406" s="57"/>
      <c r="I406" s="59">
        <f>ROUND(SUM(I402:I405),0)</f>
        <v>0</v>
      </c>
      <c r="J406" s="59">
        <f>ROUND(I406,0)</f>
        <v>0</v>
      </c>
      <c r="K406" s="4"/>
      <c r="L406" s="4"/>
      <c r="M406" s="4"/>
      <c r="N406" s="4"/>
    </row>
    <row r="407" spans="1:14" ht="26.25" customHeight="1">
      <c r="A407" s="106"/>
      <c r="B407" s="4"/>
      <c r="C407" s="312"/>
      <c r="D407" s="107" t="s">
        <v>149</v>
      </c>
      <c r="E407" s="4"/>
      <c r="F407" s="4"/>
      <c r="G407" s="4"/>
      <c r="H407" s="4"/>
      <c r="I407" s="4"/>
      <c r="J407" s="4"/>
      <c r="K407" s="4"/>
      <c r="L407" s="4"/>
      <c r="M407" s="4"/>
      <c r="N407" s="4"/>
    </row>
    <row r="408" spans="1:14" ht="20.25" customHeight="1">
      <c r="A408" s="106">
        <v>408</v>
      </c>
      <c r="B408" s="169"/>
      <c r="C408" s="314">
        <v>1672</v>
      </c>
      <c r="D408" s="59" t="s">
        <v>150</v>
      </c>
      <c r="E408" s="57"/>
      <c r="F408" s="57"/>
      <c r="G408" s="57"/>
      <c r="H408" s="57"/>
      <c r="I408" s="8">
        <v>242505</v>
      </c>
      <c r="J408" s="59">
        <f>ROUND(I408,0)</f>
        <v>242505</v>
      </c>
      <c r="K408" s="4"/>
      <c r="L408" s="4"/>
      <c r="M408" s="4"/>
      <c r="N408" s="4"/>
    </row>
    <row r="409" spans="1:14" ht="20.25" customHeight="1">
      <c r="A409" s="106">
        <v>409</v>
      </c>
      <c r="B409" s="169"/>
      <c r="C409" s="314">
        <v>1673</v>
      </c>
      <c r="D409" s="59" t="s">
        <v>151</v>
      </c>
      <c r="E409" s="57"/>
      <c r="F409" s="57"/>
      <c r="G409" s="57"/>
      <c r="H409" s="57"/>
      <c r="I409" s="8">
        <v>1221146</v>
      </c>
      <c r="J409" s="59">
        <f>ROUND(I409,0)</f>
        <v>1221146</v>
      </c>
      <c r="K409" s="4"/>
      <c r="L409" s="4"/>
      <c r="M409" s="4"/>
      <c r="N409" s="4"/>
    </row>
    <row r="410" spans="1:14" ht="20.25" customHeight="1">
      <c r="A410" s="106">
        <v>410</v>
      </c>
      <c r="B410" s="169"/>
      <c r="C410" s="314">
        <v>1674</v>
      </c>
      <c r="D410" s="59" t="s">
        <v>152</v>
      </c>
      <c r="E410" s="57"/>
      <c r="F410" s="57"/>
      <c r="G410" s="57"/>
      <c r="H410" s="57"/>
      <c r="I410" s="8"/>
      <c r="J410" s="59">
        <f>ROUND(I410,0)</f>
        <v>0</v>
      </c>
      <c r="K410" s="4"/>
      <c r="L410" s="4"/>
      <c r="M410" s="4"/>
      <c r="N410" s="4"/>
    </row>
    <row r="411" spans="1:14" ht="20.25" customHeight="1">
      <c r="A411" s="106">
        <v>411</v>
      </c>
      <c r="B411" s="169"/>
      <c r="C411" s="314">
        <v>1679</v>
      </c>
      <c r="D411" s="307" t="s">
        <v>89</v>
      </c>
      <c r="E411" s="57"/>
      <c r="F411" s="57"/>
      <c r="G411" s="57"/>
      <c r="H411" s="57"/>
      <c r="I411" s="59">
        <f>ROUND(SUM(I408:I410),0)</f>
        <v>1463651</v>
      </c>
      <c r="J411" s="59">
        <f>ROUND(I411,0)</f>
        <v>1463651</v>
      </c>
      <c r="K411" s="4"/>
      <c r="L411" s="4"/>
      <c r="M411" s="4"/>
      <c r="N411" s="4"/>
    </row>
    <row r="412" spans="1:14" ht="24.75" customHeight="1">
      <c r="A412" s="106"/>
      <c r="B412" s="4"/>
      <c r="C412" s="311"/>
      <c r="D412" s="107" t="s">
        <v>153</v>
      </c>
      <c r="E412" s="4"/>
      <c r="F412" s="4"/>
      <c r="G412" s="4"/>
      <c r="H412" s="4"/>
      <c r="I412" s="4"/>
      <c r="J412" s="4"/>
      <c r="K412" s="4"/>
      <c r="L412" s="4"/>
      <c r="M412" s="4"/>
      <c r="N412" s="4"/>
    </row>
    <row r="413" spans="1:14" ht="20.25" customHeight="1">
      <c r="A413" s="106">
        <v>413</v>
      </c>
      <c r="B413" s="169"/>
      <c r="C413" s="314">
        <v>1681</v>
      </c>
      <c r="D413" s="59" t="s">
        <v>154</v>
      </c>
      <c r="E413" s="57"/>
      <c r="F413" s="57"/>
      <c r="G413" s="57"/>
      <c r="H413" s="57"/>
      <c r="I413" s="8"/>
      <c r="J413" s="59">
        <f t="shared" ref="J413:J419" si="44">ROUND(I413,0)</f>
        <v>0</v>
      </c>
      <c r="K413" s="676" t="str">
        <f>IF(I413&gt;0,"Maintain DESE's rental lease schedule","")</f>
        <v/>
      </c>
      <c r="L413" s="4"/>
      <c r="M413" s="4"/>
      <c r="N413" s="4"/>
    </row>
    <row r="414" spans="1:14" ht="20.25" customHeight="1">
      <c r="A414" s="106">
        <v>414</v>
      </c>
      <c r="B414" s="169"/>
      <c r="C414" s="314">
        <v>1682</v>
      </c>
      <c r="D414" s="59" t="s">
        <v>155</v>
      </c>
      <c r="E414" s="57"/>
      <c r="F414" s="57"/>
      <c r="G414" s="57"/>
      <c r="H414" s="57"/>
      <c r="I414" s="8"/>
      <c r="J414" s="59">
        <f t="shared" si="44"/>
        <v>0</v>
      </c>
      <c r="K414" s="676" t="str">
        <f>IF(I414&gt;0,"Maintain DESE's rental lease schedule","")</f>
        <v/>
      </c>
      <c r="L414" s="4"/>
      <c r="M414" s="4"/>
      <c r="N414" s="4"/>
    </row>
    <row r="415" spans="1:14" ht="20.25" customHeight="1">
      <c r="A415" s="106">
        <v>415</v>
      </c>
      <c r="B415" s="169"/>
      <c r="C415" s="314">
        <v>1683</v>
      </c>
      <c r="D415" s="59" t="s">
        <v>156</v>
      </c>
      <c r="E415" s="57"/>
      <c r="F415" s="57"/>
      <c r="G415" s="57"/>
      <c r="H415" s="57"/>
      <c r="I415" s="8"/>
      <c r="J415" s="59">
        <f t="shared" si="44"/>
        <v>0</v>
      </c>
      <c r="K415" s="4"/>
      <c r="L415" s="4"/>
      <c r="M415" s="4"/>
      <c r="N415" s="4"/>
    </row>
    <row r="416" spans="1:14" ht="20.25" customHeight="1">
      <c r="A416" s="106">
        <v>416</v>
      </c>
      <c r="B416" s="169"/>
      <c r="C416" s="316">
        <v>1684</v>
      </c>
      <c r="D416" s="317" t="s">
        <v>157</v>
      </c>
      <c r="E416" s="57"/>
      <c r="F416" s="57"/>
      <c r="G416" s="57"/>
      <c r="H416" s="57"/>
      <c r="I416" s="8"/>
      <c r="J416" s="59">
        <f t="shared" si="44"/>
        <v>0</v>
      </c>
      <c r="K416" s="4"/>
      <c r="L416" s="4"/>
      <c r="M416" s="4"/>
      <c r="N416" s="4"/>
    </row>
    <row r="417" spans="1:14" ht="20.25" customHeight="1">
      <c r="A417" s="106">
        <v>417</v>
      </c>
      <c r="B417" s="169"/>
      <c r="C417" s="316">
        <v>1685</v>
      </c>
      <c r="D417" s="317" t="s">
        <v>158</v>
      </c>
      <c r="E417" s="57"/>
      <c r="F417" s="57"/>
      <c r="G417" s="57"/>
      <c r="H417" s="57"/>
      <c r="I417" s="8"/>
      <c r="J417" s="59">
        <f t="shared" si="44"/>
        <v>0</v>
      </c>
      <c r="K417" s="4"/>
      <c r="L417" s="4"/>
      <c r="M417" s="4"/>
      <c r="N417" s="4"/>
    </row>
    <row r="418" spans="1:14" ht="20.25" customHeight="1">
      <c r="A418" s="106">
        <v>418</v>
      </c>
      <c r="B418" s="326"/>
      <c r="C418" s="316">
        <v>1686</v>
      </c>
      <c r="D418" s="317" t="s">
        <v>159</v>
      </c>
      <c r="E418" s="57"/>
      <c r="F418" s="57"/>
      <c r="G418" s="57"/>
      <c r="H418" s="57"/>
      <c r="I418" s="8"/>
      <c r="J418" s="59">
        <f t="shared" si="44"/>
        <v>0</v>
      </c>
      <c r="K418" s="4"/>
      <c r="L418" s="4"/>
      <c r="M418" s="4"/>
      <c r="N418" s="4"/>
    </row>
    <row r="419" spans="1:14" ht="20.25" customHeight="1">
      <c r="A419" s="106">
        <v>419</v>
      </c>
      <c r="B419" s="169"/>
      <c r="C419" s="314">
        <v>1689</v>
      </c>
      <c r="D419" s="307" t="s">
        <v>89</v>
      </c>
      <c r="E419" s="57"/>
      <c r="F419" s="57"/>
      <c r="G419" s="57"/>
      <c r="H419" s="57"/>
      <c r="I419" s="59">
        <f>ROUND(SUM(I413:I418),0)</f>
        <v>0</v>
      </c>
      <c r="J419" s="59">
        <f t="shared" si="44"/>
        <v>0</v>
      </c>
      <c r="K419" s="4"/>
      <c r="L419" s="4"/>
      <c r="M419" s="4"/>
      <c r="N419" s="4"/>
    </row>
    <row r="420" spans="1:14" ht="24.75" customHeight="1">
      <c r="A420" s="106"/>
      <c r="B420" s="4"/>
      <c r="C420" s="311"/>
      <c r="D420" s="107" t="s">
        <v>160</v>
      </c>
      <c r="E420" s="4"/>
      <c r="F420" s="4"/>
      <c r="G420" s="4"/>
      <c r="H420" s="4"/>
      <c r="I420" s="4"/>
      <c r="J420" s="4"/>
      <c r="K420" s="4"/>
      <c r="L420" s="4"/>
      <c r="M420" s="4"/>
      <c r="N420" s="4"/>
    </row>
    <row r="421" spans="1:14" ht="20.25" customHeight="1">
      <c r="A421" s="106">
        <v>421</v>
      </c>
      <c r="B421" s="169"/>
      <c r="C421" s="316">
        <v>1701</v>
      </c>
      <c r="D421" s="317" t="s">
        <v>91</v>
      </c>
      <c r="E421" s="8"/>
      <c r="F421" s="8"/>
      <c r="G421" s="8"/>
      <c r="H421" s="8"/>
      <c r="I421" s="8"/>
      <c r="J421" s="59">
        <f t="shared" ref="J421:J427" si="45">ROUND(SUM(E421:I421),0)</f>
        <v>0</v>
      </c>
      <c r="K421" s="4"/>
      <c r="L421" s="4"/>
      <c r="M421" s="4"/>
      <c r="N421" s="4"/>
    </row>
    <row r="422" spans="1:14" ht="20.25" customHeight="1">
      <c r="A422" s="106">
        <v>422</v>
      </c>
      <c r="B422" s="169"/>
      <c r="C422" s="316">
        <v>1702</v>
      </c>
      <c r="D422" s="317" t="s">
        <v>84</v>
      </c>
      <c r="E422" s="8"/>
      <c r="F422" s="8"/>
      <c r="G422" s="8"/>
      <c r="H422" s="8"/>
      <c r="I422" s="8"/>
      <c r="J422" s="59">
        <f t="shared" si="45"/>
        <v>0</v>
      </c>
      <c r="K422" s="4"/>
      <c r="L422" s="4"/>
      <c r="M422" s="4"/>
      <c r="N422" s="4"/>
    </row>
    <row r="423" spans="1:14" ht="20.25" customHeight="1">
      <c r="A423" s="106">
        <v>423</v>
      </c>
      <c r="B423" s="169"/>
      <c r="C423" s="316">
        <v>1703</v>
      </c>
      <c r="D423" s="317" t="s">
        <v>85</v>
      </c>
      <c r="E423" s="8"/>
      <c r="F423" s="8"/>
      <c r="G423" s="8"/>
      <c r="H423" s="8"/>
      <c r="I423" s="8"/>
      <c r="J423" s="59">
        <f t="shared" si="45"/>
        <v>0</v>
      </c>
      <c r="K423" s="4"/>
      <c r="L423" s="4"/>
      <c r="M423" s="4"/>
      <c r="N423" s="4"/>
    </row>
    <row r="424" spans="1:14" ht="20.25" customHeight="1">
      <c r="A424" s="106">
        <v>424</v>
      </c>
      <c r="B424" s="169"/>
      <c r="C424" s="316">
        <v>1704</v>
      </c>
      <c r="D424" s="317" t="s">
        <v>86</v>
      </c>
      <c r="E424" s="8"/>
      <c r="F424" s="8"/>
      <c r="G424" s="8"/>
      <c r="H424" s="8"/>
      <c r="I424" s="8"/>
      <c r="J424" s="59">
        <f t="shared" si="45"/>
        <v>0</v>
      </c>
      <c r="K424" s="4"/>
      <c r="L424" s="4"/>
      <c r="M424" s="4"/>
      <c r="N424" s="4"/>
    </row>
    <row r="425" spans="1:14" ht="20.25" customHeight="1">
      <c r="A425" s="106">
        <v>425</v>
      </c>
      <c r="B425" s="169"/>
      <c r="C425" s="316">
        <v>1705</v>
      </c>
      <c r="D425" s="317" t="s">
        <v>87</v>
      </c>
      <c r="E425" s="8"/>
      <c r="F425" s="8"/>
      <c r="G425" s="8"/>
      <c r="H425" s="8"/>
      <c r="I425" s="8"/>
      <c r="J425" s="59">
        <f t="shared" si="45"/>
        <v>0</v>
      </c>
      <c r="K425" s="4"/>
      <c r="L425" s="4"/>
      <c r="M425" s="4"/>
      <c r="N425" s="4"/>
    </row>
    <row r="426" spans="1:14" ht="20.25" customHeight="1">
      <c r="A426" s="106">
        <v>426</v>
      </c>
      <c r="B426" s="169"/>
      <c r="C426" s="316">
        <v>1706</v>
      </c>
      <c r="D426" s="317" t="s">
        <v>88</v>
      </c>
      <c r="E426" s="8"/>
      <c r="F426" s="8"/>
      <c r="G426" s="8"/>
      <c r="H426" s="8"/>
      <c r="I426" s="8"/>
      <c r="J426" s="59">
        <f t="shared" si="45"/>
        <v>0</v>
      </c>
      <c r="K426" s="4"/>
      <c r="L426" s="4"/>
      <c r="M426" s="4"/>
      <c r="N426" s="4"/>
    </row>
    <row r="427" spans="1:14" ht="20.25" customHeight="1">
      <c r="A427" s="106">
        <v>427</v>
      </c>
      <c r="B427" s="169"/>
      <c r="C427" s="316">
        <v>1709</v>
      </c>
      <c r="D427" s="317" t="s">
        <v>89</v>
      </c>
      <c r="E427" s="59">
        <f>ROUND(SUM(E421:E426),0)</f>
        <v>0</v>
      </c>
      <c r="F427" s="59">
        <f>ROUND(SUM(F421:F426),0)</f>
        <v>0</v>
      </c>
      <c r="G427" s="59">
        <f>ROUND(SUM(G421:G426),0)</f>
        <v>0</v>
      </c>
      <c r="H427" s="59">
        <f>ROUND(SUM(H421:H426),0)</f>
        <v>0</v>
      </c>
      <c r="I427" s="59">
        <f>ROUND(SUM(I421:I426),0)</f>
        <v>0</v>
      </c>
      <c r="J427" s="59">
        <f t="shared" si="45"/>
        <v>0</v>
      </c>
      <c r="K427" s="4"/>
      <c r="L427" s="4"/>
      <c r="M427" s="4"/>
      <c r="N427" s="4"/>
    </row>
    <row r="428" spans="1:14" ht="24.75" customHeight="1">
      <c r="A428" s="106"/>
      <c r="B428" s="4"/>
      <c r="C428" s="311"/>
      <c r="D428" s="107" t="s">
        <v>161</v>
      </c>
      <c r="E428" s="4"/>
      <c r="F428" s="4"/>
      <c r="G428" s="4"/>
      <c r="H428" s="4"/>
      <c r="I428" s="4"/>
      <c r="J428" s="4"/>
      <c r="K428" s="4"/>
      <c r="L428" s="4"/>
      <c r="M428" s="4"/>
      <c r="N428" s="4"/>
    </row>
    <row r="429" spans="1:14" ht="20.25" customHeight="1">
      <c r="A429" s="106">
        <v>429</v>
      </c>
      <c r="B429" s="169"/>
      <c r="C429" s="316">
        <v>1711</v>
      </c>
      <c r="D429" s="317" t="s">
        <v>91</v>
      </c>
      <c r="E429" s="57"/>
      <c r="F429" s="57"/>
      <c r="G429" s="57"/>
      <c r="H429" s="57"/>
      <c r="I429" s="8"/>
      <c r="J429" s="59">
        <f t="shared" ref="J429:J435" si="46">ROUND(I429,0)</f>
        <v>0</v>
      </c>
      <c r="K429" s="4"/>
      <c r="L429" s="4"/>
      <c r="M429" s="4"/>
      <c r="N429" s="4"/>
    </row>
    <row r="430" spans="1:14" ht="20.25" customHeight="1">
      <c r="A430" s="106">
        <v>430</v>
      </c>
      <c r="B430" s="169"/>
      <c r="C430" s="316">
        <v>1712</v>
      </c>
      <c r="D430" s="317" t="s">
        <v>84</v>
      </c>
      <c r="E430" s="57"/>
      <c r="F430" s="57"/>
      <c r="G430" s="57"/>
      <c r="H430" s="57"/>
      <c r="I430" s="8"/>
      <c r="J430" s="59">
        <f t="shared" si="46"/>
        <v>0</v>
      </c>
      <c r="K430" s="4"/>
      <c r="L430" s="4"/>
      <c r="M430" s="4"/>
      <c r="N430" s="4"/>
    </row>
    <row r="431" spans="1:14" ht="20.25" customHeight="1">
      <c r="A431" s="106">
        <v>431</v>
      </c>
      <c r="B431" s="169"/>
      <c r="C431" s="316">
        <v>1713</v>
      </c>
      <c r="D431" s="317" t="s">
        <v>85</v>
      </c>
      <c r="E431" s="57"/>
      <c r="F431" s="57"/>
      <c r="G431" s="57"/>
      <c r="H431" s="57"/>
      <c r="I431" s="8"/>
      <c r="J431" s="59">
        <f t="shared" si="46"/>
        <v>0</v>
      </c>
      <c r="K431" s="4"/>
      <c r="L431" s="4"/>
      <c r="M431" s="4"/>
      <c r="N431" s="4"/>
    </row>
    <row r="432" spans="1:14" ht="20.25" customHeight="1">
      <c r="A432" s="106">
        <v>432</v>
      </c>
      <c r="B432" s="169"/>
      <c r="C432" s="316">
        <v>1714</v>
      </c>
      <c r="D432" s="317" t="s">
        <v>86</v>
      </c>
      <c r="E432" s="57"/>
      <c r="F432" s="57"/>
      <c r="G432" s="57"/>
      <c r="H432" s="57"/>
      <c r="I432" s="8"/>
      <c r="J432" s="59">
        <f t="shared" si="46"/>
        <v>0</v>
      </c>
      <c r="K432" s="4"/>
      <c r="L432" s="4"/>
      <c r="M432" s="4"/>
      <c r="N432" s="4"/>
    </row>
    <row r="433" spans="1:14" ht="20.25" customHeight="1">
      <c r="A433" s="106">
        <v>433</v>
      </c>
      <c r="B433" s="169"/>
      <c r="C433" s="316">
        <v>1715</v>
      </c>
      <c r="D433" s="317" t="s">
        <v>87</v>
      </c>
      <c r="E433" s="57"/>
      <c r="F433" s="57"/>
      <c r="G433" s="57"/>
      <c r="H433" s="57"/>
      <c r="I433" s="8"/>
      <c r="J433" s="59">
        <f t="shared" si="46"/>
        <v>0</v>
      </c>
      <c r="K433" s="4"/>
      <c r="L433" s="4"/>
      <c r="M433" s="4"/>
      <c r="N433" s="4"/>
    </row>
    <row r="434" spans="1:14" ht="20.25" customHeight="1">
      <c r="A434" s="106">
        <v>434</v>
      </c>
      <c r="B434" s="169"/>
      <c r="C434" s="316">
        <v>1716</v>
      </c>
      <c r="D434" s="317" t="s">
        <v>88</v>
      </c>
      <c r="E434" s="57"/>
      <c r="F434" s="57"/>
      <c r="G434" s="57"/>
      <c r="H434" s="57"/>
      <c r="I434" s="8"/>
      <c r="J434" s="59">
        <f t="shared" si="46"/>
        <v>0</v>
      </c>
      <c r="K434" s="4"/>
      <c r="L434" s="4"/>
      <c r="M434" s="4"/>
      <c r="N434" s="4"/>
    </row>
    <row r="435" spans="1:14" ht="20.25" customHeight="1">
      <c r="A435" s="106">
        <v>435</v>
      </c>
      <c r="B435" s="169"/>
      <c r="C435" s="316">
        <v>1719</v>
      </c>
      <c r="D435" s="317" t="s">
        <v>89</v>
      </c>
      <c r="E435" s="57"/>
      <c r="F435" s="57"/>
      <c r="G435" s="57"/>
      <c r="H435" s="57"/>
      <c r="I435" s="59">
        <f>ROUND(SUM(I429:I434),0)</f>
        <v>0</v>
      </c>
      <c r="J435" s="59">
        <f t="shared" si="46"/>
        <v>0</v>
      </c>
      <c r="K435" s="4"/>
      <c r="L435" s="4"/>
      <c r="M435" s="4"/>
      <c r="N435" s="4"/>
    </row>
    <row r="436" spans="1:14" ht="24.75" customHeight="1">
      <c r="A436" s="106"/>
      <c r="B436" s="4"/>
      <c r="C436" s="311"/>
      <c r="D436" s="107" t="s">
        <v>162</v>
      </c>
      <c r="E436" s="4"/>
      <c r="F436" s="4"/>
      <c r="G436" s="4"/>
      <c r="H436" s="4"/>
      <c r="I436" s="4"/>
      <c r="J436" s="4"/>
      <c r="K436" s="4"/>
      <c r="L436" s="4"/>
      <c r="M436" s="4"/>
      <c r="N436" s="4"/>
    </row>
    <row r="437" spans="1:14" ht="20.25" customHeight="1">
      <c r="A437" s="106">
        <v>437</v>
      </c>
      <c r="B437" s="169"/>
      <c r="C437" s="316">
        <v>1721</v>
      </c>
      <c r="D437" s="317" t="s">
        <v>91</v>
      </c>
      <c r="E437" s="8"/>
      <c r="F437" s="8"/>
      <c r="G437" s="8"/>
      <c r="H437" s="8"/>
      <c r="I437" s="57"/>
      <c r="J437" s="59">
        <f t="shared" ref="J437:J443" si="47">ROUND(SUM(E437:H437),0)</f>
        <v>0</v>
      </c>
      <c r="K437" s="4"/>
      <c r="L437" s="4"/>
      <c r="M437" s="4"/>
      <c r="N437" s="4"/>
    </row>
    <row r="438" spans="1:14" ht="20.25" customHeight="1">
      <c r="A438" s="106">
        <v>438</v>
      </c>
      <c r="B438" s="169"/>
      <c r="C438" s="316">
        <v>1722</v>
      </c>
      <c r="D438" s="317" t="s">
        <v>84</v>
      </c>
      <c r="E438" s="8"/>
      <c r="F438" s="8"/>
      <c r="G438" s="8"/>
      <c r="H438" s="8"/>
      <c r="I438" s="57"/>
      <c r="J438" s="59">
        <f t="shared" si="47"/>
        <v>0</v>
      </c>
      <c r="K438" s="4"/>
      <c r="L438" s="4"/>
      <c r="M438" s="4"/>
      <c r="N438" s="4"/>
    </row>
    <row r="439" spans="1:14" ht="20.25" customHeight="1">
      <c r="A439" s="106">
        <v>439</v>
      </c>
      <c r="B439" s="169"/>
      <c r="C439" s="316">
        <v>1723</v>
      </c>
      <c r="D439" s="317" t="s">
        <v>85</v>
      </c>
      <c r="E439" s="8"/>
      <c r="F439" s="8"/>
      <c r="G439" s="8"/>
      <c r="H439" s="8"/>
      <c r="I439" s="57"/>
      <c r="J439" s="59">
        <f t="shared" si="47"/>
        <v>0</v>
      </c>
      <c r="K439" s="4"/>
      <c r="L439" s="4"/>
      <c r="M439" s="4"/>
      <c r="N439" s="4"/>
    </row>
    <row r="440" spans="1:14" ht="20.25" customHeight="1">
      <c r="A440" s="106">
        <v>440</v>
      </c>
      <c r="B440" s="169"/>
      <c r="C440" s="316">
        <v>1724</v>
      </c>
      <c r="D440" s="317" t="s">
        <v>86</v>
      </c>
      <c r="E440" s="8"/>
      <c r="F440" s="8"/>
      <c r="G440" s="8"/>
      <c r="H440" s="8"/>
      <c r="I440" s="57"/>
      <c r="J440" s="59">
        <f t="shared" si="47"/>
        <v>0</v>
      </c>
      <c r="K440" s="4"/>
      <c r="L440" s="4"/>
      <c r="M440" s="4"/>
      <c r="N440" s="4"/>
    </row>
    <row r="441" spans="1:14" ht="20.25" customHeight="1">
      <c r="A441" s="106">
        <v>441</v>
      </c>
      <c r="B441" s="169"/>
      <c r="C441" s="316">
        <v>1725</v>
      </c>
      <c r="D441" s="317" t="s">
        <v>87</v>
      </c>
      <c r="E441" s="8"/>
      <c r="F441" s="8"/>
      <c r="G441" s="8"/>
      <c r="H441" s="8"/>
      <c r="I441" s="57"/>
      <c r="J441" s="59">
        <f t="shared" si="47"/>
        <v>0</v>
      </c>
      <c r="K441" s="4"/>
      <c r="L441" s="4"/>
      <c r="M441" s="4"/>
      <c r="N441" s="4"/>
    </row>
    <row r="442" spans="1:14" ht="20.25" customHeight="1">
      <c r="A442" s="106">
        <v>442</v>
      </c>
      <c r="B442" s="169"/>
      <c r="C442" s="316">
        <v>1726</v>
      </c>
      <c r="D442" s="317" t="s">
        <v>88</v>
      </c>
      <c r="E442" s="8"/>
      <c r="F442" s="8"/>
      <c r="G442" s="8"/>
      <c r="H442" s="8"/>
      <c r="I442" s="57"/>
      <c r="J442" s="59">
        <f t="shared" si="47"/>
        <v>0</v>
      </c>
      <c r="K442" s="4"/>
      <c r="L442" s="4"/>
      <c r="M442" s="4"/>
      <c r="N442" s="4"/>
    </row>
    <row r="443" spans="1:14" ht="20.25" customHeight="1">
      <c r="A443" s="106">
        <v>443</v>
      </c>
      <c r="B443" s="169"/>
      <c r="C443" s="316">
        <v>1729</v>
      </c>
      <c r="D443" s="317" t="s">
        <v>89</v>
      </c>
      <c r="E443" s="59">
        <f>ROUND(SUM(E437:E442),0)</f>
        <v>0</v>
      </c>
      <c r="F443" s="59">
        <f>ROUND(SUM(F437:F442),0)</f>
        <v>0</v>
      </c>
      <c r="G443" s="59">
        <f>ROUND(SUM(G437:G442),0)</f>
        <v>0</v>
      </c>
      <c r="H443" s="59">
        <f>ROUND(SUM(H437:H442),0)</f>
        <v>0</v>
      </c>
      <c r="I443" s="57"/>
      <c r="J443" s="59">
        <f t="shared" si="47"/>
        <v>0</v>
      </c>
      <c r="K443" s="4"/>
      <c r="L443" s="4"/>
      <c r="M443" s="4"/>
      <c r="N443" s="4"/>
    </row>
    <row r="444" spans="1:14" ht="24.75" customHeight="1">
      <c r="A444" s="106"/>
      <c r="B444" s="4"/>
      <c r="C444" s="312"/>
      <c r="D444" s="107" t="s">
        <v>163</v>
      </c>
      <c r="E444" s="4"/>
      <c r="F444" s="4"/>
      <c r="G444" s="4"/>
      <c r="H444" s="4"/>
      <c r="I444" s="4"/>
      <c r="J444" s="4"/>
      <c r="K444" s="4"/>
      <c r="L444" s="4"/>
      <c r="M444" s="4"/>
      <c r="N444" s="4"/>
    </row>
    <row r="445" spans="1:14" ht="20.25" customHeight="1">
      <c r="A445" s="106">
        <v>445</v>
      </c>
      <c r="B445" s="169"/>
      <c r="C445" s="316">
        <v>1731</v>
      </c>
      <c r="D445" s="317" t="s">
        <v>91</v>
      </c>
      <c r="E445" s="8"/>
      <c r="F445" s="8"/>
      <c r="G445" s="8"/>
      <c r="H445" s="8"/>
      <c r="I445" s="57"/>
      <c r="J445" s="59">
        <f t="shared" ref="J445:J451" si="48">ROUND(SUM(E445:H445),0)</f>
        <v>0</v>
      </c>
      <c r="K445" s="4"/>
      <c r="L445" s="4"/>
      <c r="M445" s="4"/>
      <c r="N445" s="4"/>
    </row>
    <row r="446" spans="1:14" ht="20.25" customHeight="1">
      <c r="A446" s="106">
        <v>446</v>
      </c>
      <c r="B446" s="169"/>
      <c r="C446" s="316">
        <v>1732</v>
      </c>
      <c r="D446" s="317" t="s">
        <v>84</v>
      </c>
      <c r="E446" s="8"/>
      <c r="F446" s="8"/>
      <c r="G446" s="8"/>
      <c r="H446" s="8"/>
      <c r="I446" s="57"/>
      <c r="J446" s="59">
        <f t="shared" si="48"/>
        <v>0</v>
      </c>
      <c r="K446" s="4"/>
      <c r="L446" s="4"/>
      <c r="M446" s="4"/>
      <c r="N446" s="4"/>
    </row>
    <row r="447" spans="1:14" ht="20.25" customHeight="1">
      <c r="A447" s="106">
        <v>447</v>
      </c>
      <c r="B447" s="169"/>
      <c r="C447" s="316">
        <v>1733</v>
      </c>
      <c r="D447" s="317" t="s">
        <v>85</v>
      </c>
      <c r="E447" s="8"/>
      <c r="F447" s="8"/>
      <c r="G447" s="8"/>
      <c r="H447" s="8"/>
      <c r="I447" s="57"/>
      <c r="J447" s="59">
        <f t="shared" si="48"/>
        <v>0</v>
      </c>
      <c r="K447" s="4"/>
      <c r="L447" s="4"/>
      <c r="M447" s="4"/>
      <c r="N447" s="4"/>
    </row>
    <row r="448" spans="1:14" ht="20.25" customHeight="1">
      <c r="A448" s="106">
        <v>448</v>
      </c>
      <c r="B448" s="169"/>
      <c r="C448" s="316">
        <v>1734</v>
      </c>
      <c r="D448" s="317" t="s">
        <v>86</v>
      </c>
      <c r="E448" s="8"/>
      <c r="F448" s="8"/>
      <c r="G448" s="8"/>
      <c r="H448" s="8"/>
      <c r="I448" s="57"/>
      <c r="J448" s="59">
        <f t="shared" si="48"/>
        <v>0</v>
      </c>
      <c r="K448" s="4"/>
      <c r="L448" s="4"/>
      <c r="M448" s="4"/>
      <c r="N448" s="4"/>
    </row>
    <row r="449" spans="1:14" ht="20.25" customHeight="1">
      <c r="A449" s="106">
        <v>449</v>
      </c>
      <c r="B449" s="169"/>
      <c r="C449" s="316">
        <v>1735</v>
      </c>
      <c r="D449" s="317" t="s">
        <v>87</v>
      </c>
      <c r="E449" s="8"/>
      <c r="F449" s="8"/>
      <c r="G449" s="8"/>
      <c r="H449" s="8"/>
      <c r="I449" s="57"/>
      <c r="J449" s="59">
        <f t="shared" si="48"/>
        <v>0</v>
      </c>
      <c r="K449" s="4"/>
      <c r="L449" s="4"/>
      <c r="M449" s="4"/>
      <c r="N449" s="4"/>
    </row>
    <row r="450" spans="1:14" ht="20.25" customHeight="1">
      <c r="A450" s="106">
        <v>450</v>
      </c>
      <c r="B450" s="169"/>
      <c r="C450" s="316">
        <v>1736</v>
      </c>
      <c r="D450" s="317" t="s">
        <v>88</v>
      </c>
      <c r="E450" s="8"/>
      <c r="F450" s="8"/>
      <c r="G450" s="8"/>
      <c r="H450" s="8"/>
      <c r="I450" s="57"/>
      <c r="J450" s="59">
        <f t="shared" si="48"/>
        <v>0</v>
      </c>
      <c r="K450" s="4"/>
      <c r="L450" s="4"/>
      <c r="M450" s="4"/>
      <c r="N450" s="4"/>
    </row>
    <row r="451" spans="1:14" ht="20.25" customHeight="1">
      <c r="A451" s="106">
        <v>451</v>
      </c>
      <c r="B451" s="169"/>
      <c r="C451" s="316">
        <v>1739</v>
      </c>
      <c r="D451" s="317" t="s">
        <v>89</v>
      </c>
      <c r="E451" s="59">
        <f>ROUND(SUM(E445:E450),0)</f>
        <v>0</v>
      </c>
      <c r="F451" s="59">
        <f>ROUND(SUM(F445:F450),0)</f>
        <v>0</v>
      </c>
      <c r="G451" s="59">
        <f>ROUND(SUM(G445:G450),0)</f>
        <v>0</v>
      </c>
      <c r="H451" s="59">
        <f>ROUND(SUM(H445:H450),0)</f>
        <v>0</v>
      </c>
      <c r="I451" s="57"/>
      <c r="J451" s="59">
        <f t="shared" si="48"/>
        <v>0</v>
      </c>
      <c r="K451" s="4"/>
      <c r="L451" s="4"/>
      <c r="M451" s="4"/>
      <c r="N451" s="4"/>
    </row>
    <row r="452" spans="1:14" ht="33" customHeight="1">
      <c r="A452" s="106"/>
      <c r="B452" s="4"/>
      <c r="C452" s="311"/>
      <c r="D452" s="107" t="s">
        <v>164</v>
      </c>
      <c r="E452" s="4"/>
      <c r="F452" s="4"/>
      <c r="G452" s="4"/>
      <c r="H452" s="4"/>
      <c r="I452" s="4"/>
      <c r="J452" s="4"/>
      <c r="K452" s="4"/>
      <c r="L452" s="4"/>
      <c r="M452" s="4"/>
      <c r="N452" s="4"/>
    </row>
    <row r="453" spans="1:14" ht="20.25" customHeight="1">
      <c r="A453" s="106">
        <v>453</v>
      </c>
      <c r="B453" s="169"/>
      <c r="C453" s="316">
        <v>1741</v>
      </c>
      <c r="D453" s="317" t="s">
        <v>165</v>
      </c>
      <c r="E453" s="57"/>
      <c r="F453" s="57"/>
      <c r="G453" s="57"/>
      <c r="H453" s="57"/>
      <c r="I453" s="8"/>
      <c r="J453" s="59">
        <f t="shared" ref="J453:J462" si="49">ROUND(I453,0)</f>
        <v>0</v>
      </c>
      <c r="K453" s="4"/>
      <c r="L453" s="4"/>
      <c r="M453" s="4"/>
      <c r="N453" s="4"/>
    </row>
    <row r="454" spans="1:14" ht="20.25" customHeight="1">
      <c r="A454" s="106">
        <v>454</v>
      </c>
      <c r="B454" s="169"/>
      <c r="C454" s="316">
        <v>1742</v>
      </c>
      <c r="D454" s="317" t="s">
        <v>166</v>
      </c>
      <c r="E454" s="57"/>
      <c r="F454" s="57"/>
      <c r="G454" s="57"/>
      <c r="H454" s="57"/>
      <c r="I454" s="8"/>
      <c r="J454" s="59">
        <f t="shared" si="49"/>
        <v>0</v>
      </c>
      <c r="K454" s="4"/>
      <c r="L454" s="4"/>
      <c r="M454" s="4"/>
      <c r="N454" s="4"/>
    </row>
    <row r="455" spans="1:14" ht="20.25" customHeight="1">
      <c r="A455" s="106">
        <v>455</v>
      </c>
      <c r="B455" s="169"/>
      <c r="C455" s="316">
        <v>1743</v>
      </c>
      <c r="D455" s="317" t="s">
        <v>167</v>
      </c>
      <c r="E455" s="57"/>
      <c r="F455" s="57"/>
      <c r="G455" s="57"/>
      <c r="H455" s="57"/>
      <c r="I455" s="8"/>
      <c r="J455" s="59">
        <f t="shared" si="49"/>
        <v>0</v>
      </c>
      <c r="K455" s="4"/>
      <c r="L455" s="4"/>
      <c r="M455" s="4"/>
      <c r="N455" s="4"/>
    </row>
    <row r="456" spans="1:14" ht="20.25" customHeight="1">
      <c r="A456" s="106">
        <v>456</v>
      </c>
      <c r="B456" s="169"/>
      <c r="C456" s="316">
        <v>1744</v>
      </c>
      <c r="D456" s="317" t="s">
        <v>168</v>
      </c>
      <c r="E456" s="57"/>
      <c r="F456" s="57"/>
      <c r="G456" s="57"/>
      <c r="H456" s="57"/>
      <c r="I456" s="8"/>
      <c r="J456" s="59">
        <f t="shared" si="49"/>
        <v>0</v>
      </c>
      <c r="K456" s="4"/>
      <c r="L456" s="4"/>
      <c r="M456" s="4"/>
      <c r="N456" s="4"/>
    </row>
    <row r="457" spans="1:14" ht="20.25" customHeight="1">
      <c r="A457" s="106">
        <v>457</v>
      </c>
      <c r="B457" s="169"/>
      <c r="C457" s="316">
        <v>1749</v>
      </c>
      <c r="D457" s="318" t="s">
        <v>89</v>
      </c>
      <c r="E457" s="57"/>
      <c r="F457" s="57"/>
      <c r="G457" s="57"/>
      <c r="H457" s="57"/>
      <c r="I457" s="59">
        <f>ROUND(SUM(I453:I456),0)</f>
        <v>0</v>
      </c>
      <c r="J457" s="59">
        <f t="shared" si="49"/>
        <v>0</v>
      </c>
      <c r="K457" s="4"/>
      <c r="L457" s="4"/>
      <c r="M457" s="4"/>
      <c r="N457" s="4"/>
    </row>
    <row r="458" spans="1:14" ht="33" customHeight="1">
      <c r="A458" s="106"/>
      <c r="B458" s="4"/>
      <c r="C458" s="311"/>
      <c r="D458" s="107" t="s">
        <v>169</v>
      </c>
      <c r="E458" s="4"/>
      <c r="F458" s="4"/>
      <c r="G458" s="4"/>
      <c r="H458" s="4"/>
      <c r="I458" s="4"/>
      <c r="J458" s="4"/>
      <c r="K458" s="4"/>
      <c r="L458" s="4"/>
      <c r="M458" s="4"/>
      <c r="N458" s="4"/>
    </row>
    <row r="459" spans="1:14" ht="20.25" customHeight="1">
      <c r="A459" s="106">
        <v>459</v>
      </c>
      <c r="B459" s="169"/>
      <c r="C459" s="316">
        <v>1751</v>
      </c>
      <c r="D459" s="317" t="s">
        <v>170</v>
      </c>
      <c r="E459" s="57"/>
      <c r="F459" s="57"/>
      <c r="G459" s="57"/>
      <c r="H459" s="57"/>
      <c r="I459" s="8"/>
      <c r="J459" s="59">
        <f t="shared" si="49"/>
        <v>0</v>
      </c>
      <c r="K459" s="4"/>
      <c r="L459" s="4"/>
      <c r="M459" s="4"/>
      <c r="N459" s="4"/>
    </row>
    <row r="460" spans="1:14" ht="20.25" customHeight="1">
      <c r="A460" s="106">
        <v>460</v>
      </c>
      <c r="B460" s="169"/>
      <c r="C460" s="316">
        <v>1752</v>
      </c>
      <c r="D460" s="317" t="s">
        <v>171</v>
      </c>
      <c r="E460" s="57"/>
      <c r="F460" s="57"/>
      <c r="G460" s="57"/>
      <c r="H460" s="57"/>
      <c r="I460" s="8"/>
      <c r="J460" s="59">
        <f t="shared" si="49"/>
        <v>0</v>
      </c>
      <c r="K460" s="4"/>
      <c r="L460" s="4"/>
      <c r="M460" s="4"/>
      <c r="N460" s="4"/>
    </row>
    <row r="461" spans="1:14" ht="20.25" customHeight="1">
      <c r="A461" s="106">
        <v>461</v>
      </c>
      <c r="B461" s="169"/>
      <c r="C461" s="316">
        <v>1753</v>
      </c>
      <c r="D461" s="317" t="s">
        <v>172</v>
      </c>
      <c r="E461" s="57"/>
      <c r="F461" s="57"/>
      <c r="G461" s="57"/>
      <c r="H461" s="57"/>
      <c r="I461" s="8"/>
      <c r="J461" s="59">
        <f t="shared" si="49"/>
        <v>0</v>
      </c>
      <c r="K461" s="4"/>
      <c r="L461" s="4"/>
      <c r="M461" s="4"/>
      <c r="N461" s="4"/>
    </row>
    <row r="462" spans="1:14" ht="20.25" customHeight="1">
      <c r="A462" s="106">
        <v>462</v>
      </c>
      <c r="B462" s="169"/>
      <c r="C462" s="316">
        <v>1759</v>
      </c>
      <c r="D462" s="318" t="s">
        <v>89</v>
      </c>
      <c r="E462" s="57"/>
      <c r="F462" s="57"/>
      <c r="G462" s="57"/>
      <c r="H462" s="57"/>
      <c r="I462" s="59">
        <f>ROUND(SUM(I459:I461),0)</f>
        <v>0</v>
      </c>
      <c r="J462" s="59">
        <f t="shared" si="49"/>
        <v>0</v>
      </c>
      <c r="K462" s="4"/>
      <c r="L462" s="4"/>
      <c r="M462" s="4"/>
      <c r="N462" s="4"/>
    </row>
    <row r="463" spans="1:14" ht="33" customHeight="1">
      <c r="A463" s="106"/>
      <c r="B463" s="4"/>
      <c r="C463" s="311"/>
      <c r="D463" s="327" t="s">
        <v>173</v>
      </c>
      <c r="E463" s="4"/>
      <c r="F463" s="4"/>
      <c r="G463" s="4"/>
      <c r="H463" s="4"/>
      <c r="I463" s="4"/>
      <c r="J463" s="4"/>
      <c r="K463" s="4"/>
      <c r="L463" s="4"/>
      <c r="M463" s="4"/>
      <c r="N463" s="4"/>
    </row>
    <row r="464" spans="1:14" ht="20.25" customHeight="1">
      <c r="A464" s="106">
        <v>464</v>
      </c>
      <c r="B464" s="169"/>
      <c r="C464" s="314">
        <v>1770</v>
      </c>
      <c r="D464" s="59" t="s">
        <v>174</v>
      </c>
      <c r="E464" s="8"/>
      <c r="F464" s="117">
        <v>0</v>
      </c>
      <c r="G464" s="8"/>
      <c r="H464" s="8"/>
      <c r="I464" s="57"/>
      <c r="J464" s="59">
        <f>ROUND(SUM(E464:H464),0)</f>
        <v>0</v>
      </c>
      <c r="K464" s="4"/>
      <c r="L464" s="4"/>
      <c r="M464" s="4"/>
      <c r="N464" s="4"/>
    </row>
    <row r="465" spans="1:15" ht="20.25" customHeight="1">
      <c r="A465" s="106">
        <v>465</v>
      </c>
      <c r="B465" s="169"/>
      <c r="C465" s="314">
        <v>1780</v>
      </c>
      <c r="D465" s="59" t="s">
        <v>175</v>
      </c>
      <c r="E465" s="479">
        <v>0</v>
      </c>
      <c r="F465" s="479">
        <v>0</v>
      </c>
      <c r="G465" s="479">
        <v>0</v>
      </c>
      <c r="H465" s="57"/>
      <c r="I465" s="57"/>
      <c r="J465" s="59">
        <f>ROUND(SUM(E465:G465),0)</f>
        <v>0</v>
      </c>
      <c r="K465" s="4"/>
      <c r="L465" s="4"/>
      <c r="M465" s="4"/>
      <c r="N465" s="4"/>
    </row>
    <row r="466" spans="1:15" ht="20.25" customHeight="1">
      <c r="A466" s="106">
        <v>466</v>
      </c>
      <c r="B466" s="169"/>
      <c r="C466" s="314">
        <v>1790</v>
      </c>
      <c r="D466" s="59" t="s">
        <v>176</v>
      </c>
      <c r="E466" s="479">
        <v>0</v>
      </c>
      <c r="F466" s="479">
        <v>0</v>
      </c>
      <c r="G466" s="8"/>
      <c r="H466" s="57"/>
      <c r="I466" s="57"/>
      <c r="J466" s="59">
        <f>ROUND(SUM(E466:G466),0)</f>
        <v>0</v>
      </c>
      <c r="K466" s="4"/>
      <c r="L466" s="4"/>
      <c r="M466" s="4"/>
      <c r="N466" s="4"/>
    </row>
    <row r="467" spans="1:15" ht="20.25" customHeight="1">
      <c r="A467" s="106">
        <v>467</v>
      </c>
      <c r="B467" s="169"/>
      <c r="C467" s="314">
        <v>1795</v>
      </c>
      <c r="D467" s="59" t="s">
        <v>177</v>
      </c>
      <c r="E467" s="8"/>
      <c r="F467" s="8"/>
      <c r="G467" s="8"/>
      <c r="H467" s="57"/>
      <c r="I467" s="57"/>
      <c r="J467" s="59">
        <f>ROUND(SUM(E467:G467),0)</f>
        <v>0</v>
      </c>
      <c r="K467" s="4"/>
      <c r="L467" s="4"/>
      <c r="M467" s="4"/>
      <c r="N467" s="4"/>
    </row>
    <row r="468" spans="1:15" ht="20.25" customHeight="1">
      <c r="A468" s="106">
        <v>468</v>
      </c>
      <c r="B468" s="169" t="s">
        <v>107</v>
      </c>
      <c r="C468" s="316">
        <v>1796</v>
      </c>
      <c r="D468" s="317" t="s">
        <v>178</v>
      </c>
      <c r="E468" s="57"/>
      <c r="F468" s="57"/>
      <c r="G468" s="57"/>
      <c r="H468" s="57"/>
      <c r="I468" s="479">
        <v>0</v>
      </c>
      <c r="J468" s="59">
        <f>ROUND(I468,0)</f>
        <v>0</v>
      </c>
      <c r="K468" s="4"/>
      <c r="L468" s="4"/>
      <c r="M468" s="4"/>
      <c r="N468" s="4"/>
    </row>
    <row r="469" spans="1:15" ht="20.25" customHeight="1">
      <c r="A469" s="106">
        <v>469</v>
      </c>
      <c r="B469" s="169"/>
      <c r="C469" s="314">
        <v>1800</v>
      </c>
      <c r="D469" s="59" t="s">
        <v>179</v>
      </c>
      <c r="E469" s="8"/>
      <c r="F469" s="8"/>
      <c r="G469" s="8"/>
      <c r="H469" s="8"/>
      <c r="I469" s="57"/>
      <c r="J469" s="59">
        <f>ROUND(SUM(E469:H469),0)</f>
        <v>0</v>
      </c>
      <c r="K469" s="4"/>
      <c r="L469" s="4"/>
      <c r="M469" s="4"/>
      <c r="N469" s="4"/>
    </row>
    <row r="470" spans="1:15" ht="20.25" customHeight="1">
      <c r="A470" s="106">
        <v>470</v>
      </c>
      <c r="B470" s="169"/>
      <c r="C470" s="314">
        <v>1810</v>
      </c>
      <c r="D470" s="59" t="s">
        <v>180</v>
      </c>
      <c r="E470" s="8"/>
      <c r="F470" s="8">
        <v>397529.04</v>
      </c>
      <c r="G470" s="8"/>
      <c r="H470" s="8"/>
      <c r="I470" s="57"/>
      <c r="J470" s="59">
        <f>ROUND(SUM(E470:H470),0)</f>
        <v>397529</v>
      </c>
      <c r="K470" s="4"/>
      <c r="L470" s="4"/>
      <c r="M470" s="4"/>
      <c r="N470" s="4"/>
    </row>
    <row r="471" spans="1:15" ht="20.25" customHeight="1">
      <c r="A471" s="106">
        <v>471</v>
      </c>
      <c r="B471" s="169"/>
      <c r="C471" s="314">
        <v>1820</v>
      </c>
      <c r="D471" s="59" t="s">
        <v>181</v>
      </c>
      <c r="E471" s="8"/>
      <c r="F471" s="8">
        <v>190979</v>
      </c>
      <c r="G471" s="8"/>
      <c r="H471" s="8"/>
      <c r="I471" s="57"/>
      <c r="J471" s="59">
        <f>ROUND(SUM(E471:H471),0)</f>
        <v>190979</v>
      </c>
      <c r="K471" s="4"/>
      <c r="L471" s="4"/>
      <c r="M471" s="4"/>
      <c r="N471" s="4"/>
    </row>
    <row r="472" spans="1:15" ht="20.25" customHeight="1">
      <c r="A472" s="106">
        <v>472</v>
      </c>
      <c r="B472" s="169"/>
      <c r="C472" s="314">
        <v>1840</v>
      </c>
      <c r="D472" s="307" t="s">
        <v>89</v>
      </c>
      <c r="E472" s="59">
        <f>ROUND(SUM(E464:E471),0)</f>
        <v>0</v>
      </c>
      <c r="F472" s="59">
        <f>ROUND(SUM(F464:F471),0)</f>
        <v>588508</v>
      </c>
      <c r="G472" s="59">
        <f>ROUND(SUM(G464:G471),0)</f>
        <v>0</v>
      </c>
      <c r="H472" s="59">
        <f>ROUND(H464+SUM(H469:H471),0)</f>
        <v>0</v>
      </c>
      <c r="I472" s="59">
        <f>ROUND(I468,0)</f>
        <v>0</v>
      </c>
      <c r="J472" s="59">
        <f>ROUND(SUM(E472:I472),0)</f>
        <v>588508</v>
      </c>
      <c r="K472" s="4"/>
      <c r="L472" s="4"/>
      <c r="M472" s="4"/>
      <c r="N472" s="4"/>
    </row>
    <row r="473" spans="1:15" ht="20.25" customHeight="1">
      <c r="A473" s="106">
        <v>473</v>
      </c>
      <c r="B473" s="169"/>
      <c r="C473" s="314">
        <v>1850</v>
      </c>
      <c r="D473" s="60" t="s">
        <v>182</v>
      </c>
      <c r="E473" s="328">
        <f ca="1">ROUND(E119+E132+E140+E148+E161+E163+E171+E176+E180+E184+E194+E208+E210+E216+E221+E223+E228+E233+E235+E241+E246+E251+E256+E264+E272+E280+E304+E427+E443+E451+E472,0)</f>
        <v>10052632</v>
      </c>
      <c r="F473" s="328">
        <f ca="1">ROUND(F119+F132+F140+F148+F161+F163+F171+F176+F180+F184+F194+F208+F210+F216+F221+F223+F228+F233+F235+F241+F246+F251+F256+F264+F272+F280+F304+F427+F443+F451+F472,0)</f>
        <v>5520069</v>
      </c>
      <c r="G473" s="328">
        <f ca="1">ROUND(G119+G132+G140+G148+G161+G163+G171+G176+G180+G184+G194+G208+G210+G216+G221+G223+G228+G233+G235+G241+G246+G251+G256+G264+G272+G280+G304+G427+G443+G451+G472,0)</f>
        <v>0</v>
      </c>
      <c r="H473" s="328">
        <f ca="1">ROUND(H119+H132+H140+H148+H161+H163+H171+H176+H180+H184+H194+H208+H210+H216+H221+H223+H228+H233+H235+H241+H246+H251+H256+H264+H272+H280+H304+H427+H443+H451+H472,0)</f>
        <v>0</v>
      </c>
      <c r="I473" s="59">
        <f ca="1">ROUND(I66+I74+I82+I90+I98+I106+I114+I124+I156+I161+I189+I202+I288+I296+I312+I320+I328+I336+I344+I349+I354+I362+I370+I375+I383+I388+I393+I398+I400+I406+I411+I419+I427+I435+I457+I462+I472,0)</f>
        <v>5127833</v>
      </c>
      <c r="J473" s="59">
        <f ca="1">ROUND(SUM(E473:I473),0)</f>
        <v>20700534</v>
      </c>
      <c r="K473" s="4"/>
      <c r="L473" s="4"/>
      <c r="M473" s="4"/>
      <c r="N473" s="4"/>
    </row>
    <row r="474" spans="1:15" ht="20.25" customHeight="1">
      <c r="A474" s="106"/>
      <c r="B474" s="4"/>
      <c r="C474" s="329"/>
      <c r="D474" s="13"/>
      <c r="E474" s="330"/>
      <c r="F474" s="330"/>
      <c r="G474" s="330"/>
      <c r="H474" s="330"/>
      <c r="I474" s="4"/>
      <c r="J474" s="4"/>
      <c r="K474" s="4"/>
      <c r="L474" s="4"/>
      <c r="M474" s="4"/>
      <c r="N474" s="4"/>
    </row>
    <row r="475" spans="1:15" ht="20.25" customHeight="1">
      <c r="A475" s="106"/>
      <c r="B475" s="4"/>
      <c r="C475" s="315"/>
      <c r="D475" s="13"/>
      <c r="E475" s="330"/>
      <c r="F475" s="330"/>
      <c r="G475" s="330"/>
      <c r="H475" s="330"/>
      <c r="I475" s="4"/>
      <c r="J475" s="4"/>
      <c r="K475" s="4"/>
      <c r="L475" s="4"/>
      <c r="M475" s="4"/>
      <c r="N475" s="4"/>
    </row>
    <row r="476" spans="1:15" ht="20.25" customHeight="1">
      <c r="A476" s="106"/>
      <c r="B476" s="4"/>
      <c r="C476" s="13" t="s">
        <v>18</v>
      </c>
      <c r="D476"/>
      <c r="E476" s="684" t="s">
        <v>19</v>
      </c>
      <c r="F476" s="684" t="s">
        <v>20</v>
      </c>
      <c r="G476" s="684">
        <v>3</v>
      </c>
      <c r="H476" s="684">
        <v>4</v>
      </c>
      <c r="I476" s="684">
        <v>5</v>
      </c>
      <c r="J476" s="685">
        <v>6</v>
      </c>
      <c r="K476" s="4"/>
      <c r="L476" s="4"/>
      <c r="M476" s="4"/>
      <c r="N476" s="4"/>
    </row>
    <row r="477" spans="1:15" ht="20.25" customHeight="1">
      <c r="A477" s="106"/>
      <c r="B477" s="4"/>
      <c r="C477" s="13" t="s">
        <v>21</v>
      </c>
      <c r="D477"/>
      <c r="E477" s="686"/>
      <c r="F477" s="686"/>
      <c r="G477" s="684"/>
      <c r="H477" s="660" t="s">
        <v>22</v>
      </c>
      <c r="I477" s="686"/>
      <c r="J477" s="687"/>
      <c r="K477" s="4"/>
      <c r="L477" s="4"/>
      <c r="M477" s="4"/>
      <c r="N477" s="4"/>
    </row>
    <row r="478" spans="1:15" ht="20.25" customHeight="1">
      <c r="A478" s="106"/>
      <c r="B478" s="4"/>
      <c r="C478" s="13"/>
      <c r="D478"/>
      <c r="E478" s="688"/>
      <c r="F478" s="688"/>
      <c r="G478" s="689" t="s">
        <v>23</v>
      </c>
      <c r="H478" s="659" t="s">
        <v>24</v>
      </c>
      <c r="I478" s="688"/>
      <c r="J478" s="690"/>
      <c r="K478" s="4"/>
      <c r="L478" s="331"/>
      <c r="M478" s="332"/>
      <c r="N478" s="332"/>
      <c r="O478" s="4"/>
    </row>
    <row r="479" spans="1:15" ht="20.25" customHeight="1">
      <c r="A479" s="106"/>
      <c r="B479" s="4"/>
      <c r="C479" s="13" t="s">
        <v>81</v>
      </c>
      <c r="E479" s="688" t="s">
        <v>25</v>
      </c>
      <c r="F479" s="688" t="s">
        <v>26</v>
      </c>
      <c r="G479" s="688" t="s">
        <v>27</v>
      </c>
      <c r="H479" s="659" t="s">
        <v>28</v>
      </c>
      <c r="I479" s="688" t="s">
        <v>29</v>
      </c>
      <c r="J479" s="690"/>
      <c r="K479" s="4"/>
      <c r="L479" s="331"/>
      <c r="M479" s="333"/>
      <c r="N479" s="333"/>
      <c r="O479" s="331"/>
    </row>
    <row r="480" spans="1:15" ht="20.25" customHeight="1">
      <c r="A480" s="106"/>
      <c r="B480" s="4"/>
      <c r="C480" s="13" t="s">
        <v>183</v>
      </c>
      <c r="D480" s="13"/>
      <c r="E480" s="691" t="s">
        <v>31</v>
      </c>
      <c r="F480" s="691" t="s">
        <v>32</v>
      </c>
      <c r="G480" s="691" t="s">
        <v>33</v>
      </c>
      <c r="H480" s="661" t="s">
        <v>34</v>
      </c>
      <c r="I480" s="691" t="s">
        <v>35</v>
      </c>
      <c r="J480" s="691" t="s">
        <v>36</v>
      </c>
      <c r="K480" s="4"/>
      <c r="L480" s="331"/>
      <c r="M480" s="333"/>
      <c r="N480" s="333"/>
      <c r="O480" s="331"/>
    </row>
    <row r="481" spans="1:15" ht="20.25" customHeight="1">
      <c r="A481" s="106">
        <v>481</v>
      </c>
      <c r="B481" s="169"/>
      <c r="C481" s="314">
        <v>1900</v>
      </c>
      <c r="D481" s="59" t="s">
        <v>83</v>
      </c>
      <c r="E481" s="334"/>
      <c r="F481" s="57"/>
      <c r="G481" s="57"/>
      <c r="H481" s="57"/>
      <c r="I481" s="8"/>
      <c r="J481" s="59">
        <f>ROUND(I481,0)</f>
        <v>0</v>
      </c>
      <c r="K481" s="4"/>
      <c r="M481" s="333"/>
      <c r="N481" s="333"/>
      <c r="O481" s="331"/>
    </row>
    <row r="482" spans="1:15" ht="20.25" customHeight="1">
      <c r="A482" s="106">
        <v>482</v>
      </c>
      <c r="B482" s="169"/>
      <c r="C482" s="314">
        <v>1910</v>
      </c>
      <c r="D482" s="59" t="s">
        <v>94</v>
      </c>
      <c r="E482" s="334"/>
      <c r="F482" s="57"/>
      <c r="G482" s="57"/>
      <c r="H482" s="57"/>
      <c r="I482" s="8">
        <v>225987</v>
      </c>
      <c r="J482" s="59">
        <f t="shared" ref="J482:J526" si="50">ROUND(I482,0)</f>
        <v>225987</v>
      </c>
      <c r="K482" s="4"/>
      <c r="L482" s="331"/>
      <c r="M482" s="331"/>
      <c r="N482" s="331"/>
      <c r="O482" s="335"/>
    </row>
    <row r="483" spans="1:15" ht="20.25" customHeight="1">
      <c r="A483" s="106">
        <v>483</v>
      </c>
      <c r="B483" s="169"/>
      <c r="C483" s="314">
        <v>1912</v>
      </c>
      <c r="D483" s="59" t="s">
        <v>95</v>
      </c>
      <c r="E483" s="334"/>
      <c r="F483" s="57"/>
      <c r="G483" s="57"/>
      <c r="H483" s="57"/>
      <c r="I483" s="8"/>
      <c r="J483" s="59">
        <f t="shared" si="50"/>
        <v>0</v>
      </c>
      <c r="K483" s="4"/>
      <c r="L483"/>
      <c r="M483"/>
      <c r="N483"/>
      <c r="O483"/>
    </row>
    <row r="484" spans="1:15" ht="20.25" customHeight="1">
      <c r="A484" s="106">
        <v>484</v>
      </c>
      <c r="B484" s="169"/>
      <c r="C484" s="314">
        <v>1914</v>
      </c>
      <c r="D484" s="59" t="s">
        <v>184</v>
      </c>
      <c r="E484" s="334"/>
      <c r="F484" s="57"/>
      <c r="G484" s="57"/>
      <c r="H484" s="57"/>
      <c r="I484" s="8"/>
      <c r="J484" s="59">
        <f t="shared" si="50"/>
        <v>0</v>
      </c>
      <c r="K484" s="4"/>
      <c r="L484" s="4"/>
      <c r="M484" s="4"/>
      <c r="N484" s="4"/>
    </row>
    <row r="485" spans="1:15" ht="20.25" customHeight="1">
      <c r="A485" s="106">
        <v>485</v>
      </c>
      <c r="B485" s="169"/>
      <c r="C485" s="314">
        <v>1916</v>
      </c>
      <c r="D485" s="59" t="s">
        <v>97</v>
      </c>
      <c r="E485" s="84"/>
      <c r="F485" s="8"/>
      <c r="G485" s="8"/>
      <c r="H485" s="8"/>
      <c r="I485" s="57"/>
      <c r="J485" s="59">
        <f>ROUND(SUM(E485:H485),0)</f>
        <v>0</v>
      </c>
      <c r="K485" s="4"/>
      <c r="L485" s="4"/>
      <c r="M485" s="4"/>
      <c r="N485" s="4"/>
    </row>
    <row r="486" spans="1:15" ht="20.25" customHeight="1">
      <c r="A486" s="106">
        <v>486</v>
      </c>
      <c r="B486" s="169"/>
      <c r="C486" s="314">
        <v>1920</v>
      </c>
      <c r="D486" s="59" t="s">
        <v>98</v>
      </c>
      <c r="E486" s="334"/>
      <c r="F486" s="57"/>
      <c r="G486" s="57"/>
      <c r="H486" s="57"/>
      <c r="I486" s="8"/>
      <c r="J486" s="59">
        <f t="shared" si="50"/>
        <v>0</v>
      </c>
      <c r="K486" s="4"/>
      <c r="L486" s="4"/>
      <c r="M486" s="4"/>
      <c r="N486" s="4"/>
    </row>
    <row r="487" spans="1:15" ht="20.25" customHeight="1">
      <c r="A487" s="106">
        <v>487</v>
      </c>
      <c r="B487" s="169"/>
      <c r="C487" s="314">
        <v>1930</v>
      </c>
      <c r="D487" s="59" t="s">
        <v>111</v>
      </c>
      <c r="E487" s="334"/>
      <c r="F487" s="57"/>
      <c r="G487" s="57"/>
      <c r="H487" s="57"/>
      <c r="I487" s="59">
        <f ca="1">K739</f>
        <v>0</v>
      </c>
      <c r="J487" s="59">
        <f t="shared" ca="1" si="50"/>
        <v>0</v>
      </c>
      <c r="K487" s="4"/>
      <c r="L487" s="4"/>
      <c r="M487" s="4"/>
      <c r="N487" s="4"/>
    </row>
    <row r="488" spans="1:15" ht="20.25" customHeight="1">
      <c r="A488" s="106">
        <v>488</v>
      </c>
      <c r="B488" s="169"/>
      <c r="C488" s="314">
        <v>1935</v>
      </c>
      <c r="D488" s="59" t="s">
        <v>119</v>
      </c>
      <c r="E488" s="334"/>
      <c r="F488" s="57"/>
      <c r="G488" s="57"/>
      <c r="H488" s="57"/>
      <c r="I488" s="59">
        <f ca="1">K778</f>
        <v>0</v>
      </c>
      <c r="J488" s="59">
        <f t="shared" ca="1" si="50"/>
        <v>0</v>
      </c>
      <c r="K488" s="4"/>
      <c r="L488" s="4"/>
      <c r="M488" s="4"/>
      <c r="N488" s="4"/>
    </row>
    <row r="489" spans="1:15" ht="20.25" customHeight="1">
      <c r="A489" s="106">
        <v>489</v>
      </c>
      <c r="B489" s="169"/>
      <c r="C489" s="314">
        <v>1940</v>
      </c>
      <c r="D489" s="59" t="s">
        <v>185</v>
      </c>
      <c r="E489" s="334"/>
      <c r="F489" s="57"/>
      <c r="G489" s="57"/>
      <c r="H489" s="57"/>
      <c r="I489" s="8"/>
      <c r="J489" s="59">
        <f t="shared" si="50"/>
        <v>0</v>
      </c>
      <c r="K489" s="4"/>
      <c r="L489" s="4"/>
      <c r="M489" s="4"/>
      <c r="N489" s="4"/>
    </row>
    <row r="490" spans="1:15" ht="20.25" customHeight="1">
      <c r="A490" s="106">
        <v>490</v>
      </c>
      <c r="B490" s="169"/>
      <c r="C490" s="316">
        <v>1950</v>
      </c>
      <c r="D490" s="317" t="s">
        <v>186</v>
      </c>
      <c r="E490" s="8"/>
      <c r="F490" s="8"/>
      <c r="G490" s="8"/>
      <c r="H490" s="8"/>
      <c r="I490" s="57"/>
      <c r="J490" s="59">
        <f>ROUND(SUM(E490:H490),0)</f>
        <v>0</v>
      </c>
      <c r="K490" s="676" t="str">
        <f>IF(G490&gt;0,"Report the same non-resident vocational transportation expenditures on Schedule 7, line 4200 in order to receive state reimbursement","")</f>
        <v/>
      </c>
      <c r="L490" s="4"/>
      <c r="M490" s="4"/>
      <c r="N490" s="4"/>
    </row>
    <row r="491" spans="1:15" ht="20.25" customHeight="1">
      <c r="A491" s="106">
        <v>491</v>
      </c>
      <c r="B491" s="169"/>
      <c r="C491" s="314">
        <v>1960</v>
      </c>
      <c r="D491" s="59" t="s">
        <v>136</v>
      </c>
      <c r="E491" s="57"/>
      <c r="F491" s="57"/>
      <c r="G491" s="57"/>
      <c r="H491" s="57"/>
      <c r="I491" s="8"/>
      <c r="J491" s="59">
        <f t="shared" si="50"/>
        <v>0</v>
      </c>
      <c r="K491" s="4"/>
      <c r="L491" s="4"/>
      <c r="M491" s="4"/>
      <c r="N491" s="4"/>
    </row>
    <row r="492" spans="1:15" ht="20.25" customHeight="1">
      <c r="A492" s="106">
        <v>492</v>
      </c>
      <c r="B492" s="169"/>
      <c r="C492" s="314">
        <v>1970</v>
      </c>
      <c r="D492" s="59" t="s">
        <v>187</v>
      </c>
      <c r="E492" s="334"/>
      <c r="F492" s="57"/>
      <c r="G492" s="57"/>
      <c r="H492" s="57"/>
      <c r="I492" s="8"/>
      <c r="J492" s="59">
        <f t="shared" si="50"/>
        <v>0</v>
      </c>
      <c r="K492" s="4"/>
      <c r="L492" s="4"/>
      <c r="M492" s="4"/>
      <c r="N492" s="4"/>
    </row>
    <row r="493" spans="1:15" ht="20.25" customHeight="1">
      <c r="A493" s="106">
        <v>493</v>
      </c>
      <c r="B493" s="169"/>
      <c r="C493" s="314">
        <v>1972</v>
      </c>
      <c r="D493" s="59" t="s">
        <v>188</v>
      </c>
      <c r="E493" s="334"/>
      <c r="F493" s="57"/>
      <c r="G493" s="57"/>
      <c r="H493" s="57"/>
      <c r="I493" s="8"/>
      <c r="J493" s="59">
        <f t="shared" si="50"/>
        <v>0</v>
      </c>
      <c r="K493" s="4"/>
      <c r="L493" s="4"/>
      <c r="M493" s="4"/>
      <c r="N493" s="4"/>
    </row>
    <row r="494" spans="1:15" ht="20.25" customHeight="1">
      <c r="A494" s="106">
        <v>494</v>
      </c>
      <c r="B494" s="169"/>
      <c r="C494" s="314">
        <v>1974</v>
      </c>
      <c r="D494" s="59" t="s">
        <v>189</v>
      </c>
      <c r="E494" s="334"/>
      <c r="F494" s="57"/>
      <c r="G494" s="57"/>
      <c r="H494" s="57"/>
      <c r="I494" s="8"/>
      <c r="J494" s="59">
        <f t="shared" si="50"/>
        <v>0</v>
      </c>
      <c r="K494" s="4"/>
      <c r="L494" s="4"/>
      <c r="M494" s="4"/>
      <c r="N494" s="4"/>
    </row>
    <row r="495" spans="1:15" ht="20.25" customHeight="1">
      <c r="A495" s="106">
        <v>495</v>
      </c>
      <c r="B495" s="169"/>
      <c r="C495" s="314">
        <v>1975</v>
      </c>
      <c r="D495" s="59" t="s">
        <v>190</v>
      </c>
      <c r="E495" s="334"/>
      <c r="F495" s="57"/>
      <c r="G495" s="57"/>
      <c r="H495" s="57"/>
      <c r="I495" s="8">
        <v>85288</v>
      </c>
      <c r="J495" s="59">
        <f t="shared" si="50"/>
        <v>85288</v>
      </c>
      <c r="K495" s="4"/>
      <c r="L495" s="4"/>
      <c r="M495" s="4"/>
      <c r="N495" s="4"/>
    </row>
    <row r="496" spans="1:15" ht="20.25" customHeight="1">
      <c r="A496" s="106">
        <v>496</v>
      </c>
      <c r="B496" s="169"/>
      <c r="C496" s="314">
        <v>1976</v>
      </c>
      <c r="D496" s="59" t="s">
        <v>191</v>
      </c>
      <c r="E496" s="334"/>
      <c r="F496" s="57"/>
      <c r="G496" s="57"/>
      <c r="H496" s="57"/>
      <c r="I496" s="8"/>
      <c r="J496" s="59">
        <f t="shared" si="50"/>
        <v>0</v>
      </c>
      <c r="K496" s="4"/>
      <c r="L496" s="4"/>
      <c r="M496" s="4"/>
      <c r="N496" s="4"/>
    </row>
    <row r="497" spans="1:14" ht="20.25" customHeight="1">
      <c r="A497" s="106">
        <v>497</v>
      </c>
      <c r="B497" s="169"/>
      <c r="C497" s="314">
        <v>1978</v>
      </c>
      <c r="D497" s="59" t="s">
        <v>192</v>
      </c>
      <c r="E497" s="334"/>
      <c r="F497" s="57"/>
      <c r="G497" s="57"/>
      <c r="H497" s="57"/>
      <c r="I497" s="8"/>
      <c r="J497" s="59">
        <f t="shared" si="50"/>
        <v>0</v>
      </c>
      <c r="K497" s="4"/>
      <c r="L497" s="4"/>
      <c r="M497" s="4"/>
      <c r="N497" s="4"/>
    </row>
    <row r="498" spans="1:14" ht="20.25" customHeight="1">
      <c r="A498" s="106">
        <v>498</v>
      </c>
      <c r="B498" s="169"/>
      <c r="C498" s="314">
        <v>1979</v>
      </c>
      <c r="D498" s="59" t="s">
        <v>193</v>
      </c>
      <c r="E498" s="334"/>
      <c r="F498" s="57"/>
      <c r="G498" s="57"/>
      <c r="H498" s="57"/>
      <c r="I498" s="8"/>
      <c r="J498" s="59">
        <f t="shared" si="50"/>
        <v>0</v>
      </c>
      <c r="K498" s="4"/>
      <c r="L498" s="4"/>
      <c r="M498" s="4"/>
      <c r="N498" s="4"/>
    </row>
    <row r="499" spans="1:14" ht="20.25" customHeight="1">
      <c r="A499" s="106">
        <v>499</v>
      </c>
      <c r="B499" s="169"/>
      <c r="C499" s="314">
        <v>1990</v>
      </c>
      <c r="D499" s="59" t="s">
        <v>194</v>
      </c>
      <c r="E499" s="334"/>
      <c r="F499" s="57"/>
      <c r="G499" s="57"/>
      <c r="H499" s="57"/>
      <c r="I499" s="8">
        <v>68800</v>
      </c>
      <c r="J499" s="59">
        <f t="shared" si="50"/>
        <v>68800</v>
      </c>
      <c r="K499" s="4"/>
      <c r="L499" s="4"/>
      <c r="M499" s="4"/>
      <c r="N499" s="4"/>
    </row>
    <row r="500" spans="1:14" ht="20.25" customHeight="1">
      <c r="A500" s="106">
        <v>500</v>
      </c>
      <c r="B500" s="169"/>
      <c r="C500" s="314">
        <v>1995</v>
      </c>
      <c r="D500" s="59" t="s">
        <v>145</v>
      </c>
      <c r="E500" s="334"/>
      <c r="F500" s="57"/>
      <c r="G500" s="57"/>
      <c r="H500" s="57"/>
      <c r="I500" s="8"/>
      <c r="J500" s="59">
        <f t="shared" si="50"/>
        <v>0</v>
      </c>
      <c r="K500" s="4"/>
      <c r="L500" s="4"/>
      <c r="M500" s="4"/>
      <c r="N500" s="4"/>
    </row>
    <row r="501" spans="1:14" ht="20.25" customHeight="1">
      <c r="A501" s="106">
        <v>501</v>
      </c>
      <c r="B501" s="169"/>
      <c r="C501" s="314">
        <v>1996</v>
      </c>
      <c r="D501" s="59" t="s">
        <v>146</v>
      </c>
      <c r="E501" s="334"/>
      <c r="F501" s="57"/>
      <c r="G501" s="57"/>
      <c r="H501" s="57"/>
      <c r="I501" s="8"/>
      <c r="J501" s="59">
        <f t="shared" si="50"/>
        <v>0</v>
      </c>
      <c r="K501" s="4"/>
      <c r="L501" s="4"/>
      <c r="M501" s="4"/>
      <c r="N501" s="4"/>
    </row>
    <row r="502" spans="1:14" ht="20.25" customHeight="1">
      <c r="A502" s="106">
        <v>502</v>
      </c>
      <c r="B502" s="169"/>
      <c r="C502" s="314">
        <v>2000</v>
      </c>
      <c r="D502" s="59" t="s">
        <v>147</v>
      </c>
      <c r="E502" s="334"/>
      <c r="F502" s="57"/>
      <c r="G502" s="57"/>
      <c r="H502" s="57"/>
      <c r="I502" s="8">
        <v>343301</v>
      </c>
      <c r="J502" s="59">
        <f t="shared" si="50"/>
        <v>343301</v>
      </c>
      <c r="K502" s="4"/>
      <c r="L502" s="4"/>
      <c r="M502" s="4"/>
      <c r="N502" s="4"/>
    </row>
    <row r="503" spans="1:14" ht="28.5" customHeight="1">
      <c r="A503" s="106"/>
      <c r="B503" s="325"/>
      <c r="C503" s="312"/>
      <c r="D503" s="107" t="s">
        <v>148</v>
      </c>
      <c r="E503" s="4"/>
      <c r="F503" s="4"/>
      <c r="G503" s="4"/>
      <c r="H503" s="4"/>
      <c r="I503" s="4"/>
      <c r="J503" s="4"/>
      <c r="K503" s="4"/>
      <c r="L503" s="4"/>
      <c r="M503" s="4"/>
      <c r="N503" s="4"/>
    </row>
    <row r="504" spans="1:14" ht="20.25" customHeight="1">
      <c r="A504" s="106">
        <v>504</v>
      </c>
      <c r="B504" s="325"/>
      <c r="C504" s="314">
        <v>2003</v>
      </c>
      <c r="D504" s="59" t="s">
        <v>91</v>
      </c>
      <c r="E504" s="57"/>
      <c r="F504" s="57"/>
      <c r="G504" s="57"/>
      <c r="H504" s="57"/>
      <c r="I504" s="8">
        <v>15748</v>
      </c>
      <c r="J504" s="59">
        <f t="shared" si="50"/>
        <v>15748</v>
      </c>
      <c r="K504" s="4"/>
      <c r="L504" s="4"/>
      <c r="M504" s="4"/>
      <c r="N504" s="4"/>
    </row>
    <row r="505" spans="1:14" ht="20.25" customHeight="1">
      <c r="A505" s="106">
        <v>505</v>
      </c>
      <c r="B505" s="325"/>
      <c r="C505" s="314">
        <v>2004</v>
      </c>
      <c r="D505" s="59" t="s">
        <v>84</v>
      </c>
      <c r="E505" s="57"/>
      <c r="F505" s="57"/>
      <c r="G505" s="57"/>
      <c r="H505" s="57"/>
      <c r="I505" s="8"/>
      <c r="J505" s="59">
        <f t="shared" si="50"/>
        <v>0</v>
      </c>
      <c r="K505" s="4"/>
      <c r="L505" s="4"/>
      <c r="M505" s="4"/>
      <c r="N505" s="4"/>
    </row>
    <row r="506" spans="1:14" ht="20.25" customHeight="1">
      <c r="A506" s="106">
        <v>506</v>
      </c>
      <c r="B506" s="325"/>
      <c r="C506" s="314">
        <v>2005</v>
      </c>
      <c r="D506" s="59" t="s">
        <v>85</v>
      </c>
      <c r="E506" s="57"/>
      <c r="F506" s="57"/>
      <c r="G506" s="57"/>
      <c r="H506" s="57"/>
      <c r="I506" s="8"/>
      <c r="J506" s="59">
        <f t="shared" si="50"/>
        <v>0</v>
      </c>
      <c r="K506" s="4"/>
      <c r="L506" s="4"/>
      <c r="M506" s="4"/>
      <c r="N506" s="4"/>
    </row>
    <row r="507" spans="1:14" ht="20.25" customHeight="1">
      <c r="A507" s="106">
        <v>507</v>
      </c>
      <c r="B507" s="325"/>
      <c r="C507" s="314">
        <v>2006</v>
      </c>
      <c r="D507" s="59" t="s">
        <v>86</v>
      </c>
      <c r="E507" s="57"/>
      <c r="F507" s="57"/>
      <c r="G507" s="57"/>
      <c r="H507" s="57"/>
      <c r="I507" s="8"/>
      <c r="J507" s="59">
        <f t="shared" si="50"/>
        <v>0</v>
      </c>
      <c r="K507" s="4"/>
      <c r="L507" s="4"/>
      <c r="M507" s="4"/>
      <c r="N507" s="4"/>
    </row>
    <row r="508" spans="1:14" ht="20.25" customHeight="1">
      <c r="A508" s="106">
        <v>508</v>
      </c>
      <c r="B508" s="325"/>
      <c r="C508" s="314">
        <v>2007</v>
      </c>
      <c r="D508" s="307" t="s">
        <v>89</v>
      </c>
      <c r="E508" s="57"/>
      <c r="F508" s="57"/>
      <c r="G508" s="57"/>
      <c r="H508" s="57"/>
      <c r="I508" s="59">
        <f>ROUND(SUM(I504:I507),0)</f>
        <v>15748</v>
      </c>
      <c r="J508" s="59">
        <f>ROUND(I508,0)</f>
        <v>15748</v>
      </c>
      <c r="K508" s="4"/>
      <c r="L508" s="4"/>
      <c r="M508" s="4"/>
      <c r="N508" s="4"/>
    </row>
    <row r="509" spans="1:14" ht="20.25" customHeight="1">
      <c r="A509" s="106">
        <v>509</v>
      </c>
      <c r="B509" s="169"/>
      <c r="C509" s="314">
        <v>2010</v>
      </c>
      <c r="D509" s="59" t="s">
        <v>195</v>
      </c>
      <c r="E509" s="334"/>
      <c r="F509" s="57"/>
      <c r="G509" s="57"/>
      <c r="H509" s="57"/>
      <c r="I509" s="8">
        <v>242505</v>
      </c>
      <c r="J509" s="59">
        <f t="shared" si="50"/>
        <v>242505</v>
      </c>
      <c r="K509" s="4"/>
      <c r="L509" s="4"/>
      <c r="M509" s="4"/>
      <c r="N509" s="4"/>
    </row>
    <row r="510" spans="1:14" ht="20.25" customHeight="1">
      <c r="A510" s="106">
        <v>510</v>
      </c>
      <c r="B510" s="169"/>
      <c r="C510" s="314">
        <v>2020</v>
      </c>
      <c r="D510" s="59" t="s">
        <v>196</v>
      </c>
      <c r="E510" s="334"/>
      <c r="F510" s="57"/>
      <c r="G510" s="57"/>
      <c r="H510" s="57"/>
      <c r="I510" s="8">
        <v>1221146</v>
      </c>
      <c r="J510" s="59">
        <f t="shared" si="50"/>
        <v>1221146</v>
      </c>
      <c r="K510" s="4"/>
      <c r="L510" s="4"/>
      <c r="M510" s="4"/>
      <c r="N510" s="4"/>
    </row>
    <row r="511" spans="1:14" ht="20.25" customHeight="1">
      <c r="A511" s="106">
        <v>511</v>
      </c>
      <c r="B511" s="169"/>
      <c r="C511" s="314">
        <v>2030</v>
      </c>
      <c r="D511" s="59" t="s">
        <v>197</v>
      </c>
      <c r="E511" s="334"/>
      <c r="F511" s="57"/>
      <c r="G511" s="57"/>
      <c r="H511" s="57"/>
      <c r="I511" s="8"/>
      <c r="J511" s="59">
        <f t="shared" si="50"/>
        <v>0</v>
      </c>
      <c r="K511" s="4"/>
      <c r="L511" s="4"/>
      <c r="M511" s="4"/>
      <c r="N511" s="4"/>
    </row>
    <row r="512" spans="1:14" ht="20.25" customHeight="1">
      <c r="A512" s="106">
        <v>512</v>
      </c>
      <c r="B512" s="169"/>
      <c r="C512" s="314">
        <v>2040</v>
      </c>
      <c r="D512" s="59" t="s">
        <v>198</v>
      </c>
      <c r="E512" s="334"/>
      <c r="F512" s="57"/>
      <c r="G512" s="57"/>
      <c r="H512" s="57"/>
      <c r="I512" s="8"/>
      <c r="J512" s="59">
        <f t="shared" si="50"/>
        <v>0</v>
      </c>
      <c r="K512" s="676" t="str">
        <f>IF(I512&gt;0,"Maintain DESE's rental lease schedule","")</f>
        <v/>
      </c>
      <c r="L512" s="4"/>
      <c r="M512" s="4"/>
      <c r="N512" s="4"/>
    </row>
    <row r="513" spans="1:14" ht="20.25" customHeight="1">
      <c r="A513" s="106">
        <v>513</v>
      </c>
      <c r="B513" s="169"/>
      <c r="C513" s="314">
        <v>2050</v>
      </c>
      <c r="D513" s="59" t="s">
        <v>199</v>
      </c>
      <c r="E513" s="334"/>
      <c r="F513" s="57"/>
      <c r="G513" s="57"/>
      <c r="H513" s="57"/>
      <c r="I513" s="8"/>
      <c r="J513" s="59">
        <f t="shared" si="50"/>
        <v>0</v>
      </c>
      <c r="K513" s="676" t="str">
        <f>IF(I513&gt;0,"Maintain DESE's rental lease schedule","")</f>
        <v/>
      </c>
      <c r="L513" s="4"/>
      <c r="M513" s="4"/>
      <c r="N513" s="4"/>
    </row>
    <row r="514" spans="1:14" ht="20.25" customHeight="1">
      <c r="A514" s="106">
        <v>514</v>
      </c>
      <c r="B514" s="169"/>
      <c r="C514" s="314">
        <v>2060</v>
      </c>
      <c r="D514" s="59" t="s">
        <v>156</v>
      </c>
      <c r="E514" s="334"/>
      <c r="F514" s="57"/>
      <c r="G514" s="57"/>
      <c r="H514" s="57"/>
      <c r="I514" s="8"/>
      <c r="J514" s="59">
        <f t="shared" si="50"/>
        <v>0</v>
      </c>
      <c r="K514" s="4"/>
      <c r="L514" s="4"/>
      <c r="M514" s="4"/>
      <c r="N514" s="4"/>
    </row>
    <row r="515" spans="1:14" ht="20.25" customHeight="1">
      <c r="A515" s="106">
        <v>515</v>
      </c>
      <c r="B515" s="169"/>
      <c r="C515" s="316">
        <v>2065</v>
      </c>
      <c r="D515" s="317" t="s">
        <v>200</v>
      </c>
      <c r="E515" s="334"/>
      <c r="F515" s="57"/>
      <c r="G515" s="57"/>
      <c r="H515" s="57"/>
      <c r="I515" s="8"/>
      <c r="J515" s="59">
        <f t="shared" si="50"/>
        <v>0</v>
      </c>
      <c r="K515" s="4"/>
      <c r="L515" s="4"/>
      <c r="M515" s="4"/>
      <c r="N515" s="4"/>
    </row>
    <row r="516" spans="1:14" ht="20.25" customHeight="1">
      <c r="A516" s="106">
        <v>516</v>
      </c>
      <c r="B516" s="169"/>
      <c r="C516" s="316">
        <v>2070</v>
      </c>
      <c r="D516" s="317" t="s">
        <v>158</v>
      </c>
      <c r="E516" s="334"/>
      <c r="F516" s="57"/>
      <c r="G516" s="57"/>
      <c r="H516" s="57"/>
      <c r="I516" s="8"/>
      <c r="J516" s="59">
        <f t="shared" si="50"/>
        <v>0</v>
      </c>
      <c r="K516" s="4"/>
      <c r="L516" s="4"/>
      <c r="M516" s="4"/>
      <c r="N516" s="4"/>
    </row>
    <row r="517" spans="1:14" ht="20.25" customHeight="1">
      <c r="A517" s="106">
        <v>517</v>
      </c>
      <c r="B517" s="326"/>
      <c r="C517" s="316">
        <v>2075</v>
      </c>
      <c r="D517" s="317" t="s">
        <v>159</v>
      </c>
      <c r="E517" s="334"/>
      <c r="F517" s="57"/>
      <c r="G517" s="57"/>
      <c r="H517" s="57"/>
      <c r="I517" s="8"/>
      <c r="J517" s="59">
        <f t="shared" si="50"/>
        <v>0</v>
      </c>
      <c r="K517" s="4"/>
      <c r="L517" s="4"/>
      <c r="M517" s="4"/>
      <c r="N517" s="4"/>
    </row>
    <row r="518" spans="1:14" ht="20.25" customHeight="1">
      <c r="A518" s="106">
        <v>518</v>
      </c>
      <c r="B518" s="169"/>
      <c r="C518" s="316">
        <v>2080</v>
      </c>
      <c r="D518" s="317" t="s">
        <v>162</v>
      </c>
      <c r="E518" s="334"/>
      <c r="F518" s="57"/>
      <c r="G518" s="57"/>
      <c r="H518" s="57"/>
      <c r="I518" s="8"/>
      <c r="J518" s="59">
        <f t="shared" si="50"/>
        <v>0</v>
      </c>
      <c r="K518" s="4"/>
      <c r="L518" s="4"/>
      <c r="M518" s="4"/>
      <c r="N518" s="4"/>
    </row>
    <row r="519" spans="1:14" ht="20.25" customHeight="1">
      <c r="A519" s="106">
        <v>519</v>
      </c>
      <c r="B519" s="169"/>
      <c r="C519" s="316">
        <v>2090</v>
      </c>
      <c r="D519" s="317" t="s">
        <v>201</v>
      </c>
      <c r="E519" s="9"/>
      <c r="F519" s="10"/>
      <c r="G519" s="10"/>
      <c r="H519" s="10"/>
      <c r="I519" s="10"/>
      <c r="J519" s="59">
        <f>ROUND(SUM(E519:I519),0)</f>
        <v>0</v>
      </c>
      <c r="K519" s="4"/>
      <c r="L519" s="4"/>
      <c r="M519" s="4"/>
      <c r="N519" s="4"/>
    </row>
    <row r="520" spans="1:14" ht="20.25" customHeight="1">
      <c r="A520" s="106">
        <v>520</v>
      </c>
      <c r="B520" s="169"/>
      <c r="C520" s="316">
        <v>2100</v>
      </c>
      <c r="D520" s="317" t="s">
        <v>165</v>
      </c>
      <c r="E520" s="334"/>
      <c r="F520" s="57"/>
      <c r="G520" s="57"/>
      <c r="H520" s="57"/>
      <c r="I520" s="8"/>
      <c r="J520" s="59">
        <f t="shared" si="50"/>
        <v>0</v>
      </c>
      <c r="K520" s="4"/>
      <c r="L520" s="4"/>
      <c r="M520" s="4"/>
      <c r="N520" s="4"/>
    </row>
    <row r="521" spans="1:14" ht="20.25" customHeight="1">
      <c r="A521" s="106">
        <v>521</v>
      </c>
      <c r="B521" s="169"/>
      <c r="C521" s="316">
        <v>2110</v>
      </c>
      <c r="D521" s="317" t="s">
        <v>166</v>
      </c>
      <c r="E521" s="334"/>
      <c r="F521" s="57"/>
      <c r="G521" s="57"/>
      <c r="H521" s="57"/>
      <c r="I521" s="8">
        <v>26950</v>
      </c>
      <c r="J521" s="59">
        <f t="shared" si="50"/>
        <v>26950</v>
      </c>
      <c r="K521" s="4"/>
      <c r="L521" s="4"/>
      <c r="M521" s="4"/>
      <c r="N521" s="4"/>
    </row>
    <row r="522" spans="1:14" ht="20.25" customHeight="1">
      <c r="A522" s="106">
        <v>522</v>
      </c>
      <c r="B522" s="169"/>
      <c r="C522" s="316">
        <v>2115</v>
      </c>
      <c r="D522" s="317" t="s">
        <v>167</v>
      </c>
      <c r="E522" s="334"/>
      <c r="F522" s="57"/>
      <c r="G522" s="57"/>
      <c r="H522" s="57"/>
      <c r="I522" s="8">
        <v>437529</v>
      </c>
      <c r="J522" s="59">
        <f t="shared" si="50"/>
        <v>437529</v>
      </c>
      <c r="K522" s="4"/>
      <c r="L522" s="4"/>
      <c r="M522" s="4"/>
      <c r="N522" s="4"/>
    </row>
    <row r="523" spans="1:14" ht="20.25" customHeight="1">
      <c r="A523" s="106">
        <v>523</v>
      </c>
      <c r="B523" s="169"/>
      <c r="C523" s="316">
        <v>2120</v>
      </c>
      <c r="D523" s="317" t="s">
        <v>168</v>
      </c>
      <c r="E523" s="334"/>
      <c r="F523" s="57"/>
      <c r="G523" s="57"/>
      <c r="H523" s="57"/>
      <c r="I523" s="8"/>
      <c r="J523" s="59">
        <f t="shared" si="50"/>
        <v>0</v>
      </c>
      <c r="K523" s="4"/>
      <c r="L523" s="4"/>
      <c r="M523" s="4"/>
      <c r="N523" s="4"/>
    </row>
    <row r="524" spans="1:14" ht="20.25" customHeight="1">
      <c r="A524" s="106">
        <v>524</v>
      </c>
      <c r="B524" s="169"/>
      <c r="C524" s="316">
        <v>2130</v>
      </c>
      <c r="D524" s="317" t="s">
        <v>202</v>
      </c>
      <c r="E524" s="57"/>
      <c r="F524" s="57"/>
      <c r="G524" s="57"/>
      <c r="H524" s="57"/>
      <c r="I524" s="8">
        <v>972728</v>
      </c>
      <c r="J524" s="59">
        <f t="shared" si="50"/>
        <v>972728</v>
      </c>
      <c r="K524" s="4"/>
      <c r="L524" s="4"/>
      <c r="M524" s="4"/>
      <c r="N524" s="4"/>
    </row>
    <row r="525" spans="1:14" ht="20.25" customHeight="1">
      <c r="A525" s="106">
        <v>525</v>
      </c>
      <c r="B525" s="169"/>
      <c r="C525" s="316">
        <v>2140</v>
      </c>
      <c r="D525" s="317" t="s">
        <v>203</v>
      </c>
      <c r="E525" s="57"/>
      <c r="F525" s="57"/>
      <c r="G525" s="57"/>
      <c r="H525" s="57"/>
      <c r="I525" s="8">
        <v>946794</v>
      </c>
      <c r="J525" s="59">
        <f t="shared" si="50"/>
        <v>946794</v>
      </c>
      <c r="K525" s="4"/>
      <c r="L525" s="4"/>
      <c r="M525" s="4"/>
      <c r="N525" s="4"/>
    </row>
    <row r="526" spans="1:14" ht="20.25" customHeight="1">
      <c r="A526" s="106">
        <v>526</v>
      </c>
      <c r="B526" s="169"/>
      <c r="C526" s="316">
        <v>2200</v>
      </c>
      <c r="D526" s="317" t="s">
        <v>204</v>
      </c>
      <c r="E526" s="57"/>
      <c r="F526" s="57"/>
      <c r="G526" s="57"/>
      <c r="H526" s="57"/>
      <c r="I526" s="8"/>
      <c r="J526" s="59">
        <f t="shared" si="50"/>
        <v>0</v>
      </c>
      <c r="K526" s="4"/>
      <c r="L526" s="4"/>
      <c r="M526" s="4"/>
      <c r="N526" s="4"/>
    </row>
    <row r="527" spans="1:14" ht="24.75" customHeight="1">
      <c r="A527" s="106"/>
      <c r="B527" s="4"/>
      <c r="C527" s="311"/>
      <c r="D527" s="327" t="s">
        <v>173</v>
      </c>
      <c r="E527" s="4"/>
      <c r="F527" s="4"/>
      <c r="G527" s="4"/>
      <c r="H527" s="4"/>
      <c r="I527" s="4"/>
      <c r="J527" s="4"/>
      <c r="K527" s="4"/>
      <c r="L527" s="4"/>
      <c r="M527" s="4"/>
      <c r="N527" s="4"/>
    </row>
    <row r="528" spans="1:14" ht="20.25" customHeight="1">
      <c r="A528" s="106">
        <v>528</v>
      </c>
      <c r="B528" s="169"/>
      <c r="C528" s="314">
        <v>2210</v>
      </c>
      <c r="D528" s="337" t="s">
        <v>174</v>
      </c>
      <c r="E528" s="8"/>
      <c r="F528" s="117">
        <v>0</v>
      </c>
      <c r="G528" s="8"/>
      <c r="H528" s="8"/>
      <c r="I528" s="57"/>
      <c r="J528" s="59">
        <f>ROUND(SUM(E528:H528),0)</f>
        <v>0</v>
      </c>
      <c r="K528" s="676" t="str">
        <f>IF(AND(G528&gt;0,G490=0),"Enter transportation costs for non-resident vocational students on line 1950, column 3 if applicable","")</f>
        <v/>
      </c>
      <c r="L528" s="4"/>
      <c r="M528" s="4"/>
      <c r="N528" s="4"/>
    </row>
    <row r="529" spans="1:17" ht="20.25" customHeight="1">
      <c r="A529" s="106">
        <v>529</v>
      </c>
      <c r="B529" s="169"/>
      <c r="C529" s="314">
        <v>2220</v>
      </c>
      <c r="D529" s="59" t="s">
        <v>175</v>
      </c>
      <c r="E529" s="479">
        <v>332535</v>
      </c>
      <c r="F529" s="479">
        <v>69187.997733809505</v>
      </c>
      <c r="G529" s="479">
        <v>0</v>
      </c>
      <c r="H529" s="57"/>
      <c r="I529" s="57"/>
      <c r="J529" s="59">
        <f>ROUND(SUM(E529:G529),0)</f>
        <v>401723</v>
      </c>
      <c r="K529" s="4"/>
      <c r="L529" s="4"/>
      <c r="M529" s="4"/>
      <c r="N529" s="4"/>
    </row>
    <row r="530" spans="1:17" ht="20.25" customHeight="1">
      <c r="A530" s="106">
        <v>530</v>
      </c>
      <c r="B530" s="169"/>
      <c r="C530" s="314">
        <v>2230</v>
      </c>
      <c r="D530" s="59" t="s">
        <v>176</v>
      </c>
      <c r="E530" s="479">
        <v>406397.91</v>
      </c>
      <c r="F530" s="479">
        <v>30589.090000000004</v>
      </c>
      <c r="G530" s="8"/>
      <c r="H530" s="57"/>
      <c r="I530" s="57"/>
      <c r="J530" s="59">
        <f>ROUND(SUM(E530:G530),0)</f>
        <v>436987</v>
      </c>
      <c r="K530" s="4"/>
      <c r="L530" s="4"/>
      <c r="M530" s="4"/>
      <c r="N530" s="4"/>
    </row>
    <row r="531" spans="1:17" ht="20.25" customHeight="1">
      <c r="A531" s="106">
        <v>531</v>
      </c>
      <c r="B531" s="169"/>
      <c r="C531" s="314">
        <v>2235</v>
      </c>
      <c r="D531" s="59" t="s">
        <v>177</v>
      </c>
      <c r="E531" s="8"/>
      <c r="F531" s="8"/>
      <c r="G531" s="8"/>
      <c r="H531" s="57"/>
      <c r="I531" s="57"/>
      <c r="J531" s="59">
        <f>ROUND(SUM(E531:G531),0)</f>
        <v>0</v>
      </c>
      <c r="K531" s="4"/>
      <c r="L531" s="4"/>
      <c r="M531" s="4"/>
      <c r="N531" s="4"/>
    </row>
    <row r="532" spans="1:17" ht="20.25" customHeight="1">
      <c r="A532" s="106">
        <v>532</v>
      </c>
      <c r="B532" s="169" t="s">
        <v>107</v>
      </c>
      <c r="C532" s="316">
        <v>2236</v>
      </c>
      <c r="D532" s="317" t="s">
        <v>178</v>
      </c>
      <c r="E532" s="57"/>
      <c r="F532" s="57"/>
      <c r="G532" s="57"/>
      <c r="H532" s="57"/>
      <c r="I532" s="479">
        <v>0</v>
      </c>
      <c r="J532" s="59">
        <f>ROUND(I532,0)</f>
        <v>0</v>
      </c>
      <c r="K532" s="4"/>
      <c r="L532" s="4"/>
      <c r="M532" s="4"/>
      <c r="N532" s="4"/>
    </row>
    <row r="533" spans="1:17" ht="20.25" customHeight="1">
      <c r="A533" s="106">
        <v>533</v>
      </c>
      <c r="B533" s="169"/>
      <c r="C533" s="314">
        <v>2240</v>
      </c>
      <c r="D533" s="59" t="s">
        <v>179</v>
      </c>
      <c r="E533" s="8"/>
      <c r="F533" s="8"/>
      <c r="G533" s="8"/>
      <c r="H533" s="8"/>
      <c r="I533" s="57"/>
      <c r="J533" s="59">
        <f>ROUND(SUM(E533:H533),0)</f>
        <v>0</v>
      </c>
      <c r="K533" s="4"/>
      <c r="L533" s="4"/>
      <c r="M533" s="4"/>
      <c r="N533" s="4"/>
    </row>
    <row r="534" spans="1:17" ht="20.25" customHeight="1">
      <c r="A534" s="106">
        <v>534</v>
      </c>
      <c r="B534" s="169"/>
      <c r="C534" s="314">
        <v>2250</v>
      </c>
      <c r="D534" s="59" t="s">
        <v>180</v>
      </c>
      <c r="E534" s="8"/>
      <c r="F534" s="8"/>
      <c r="G534" s="8"/>
      <c r="H534" s="8"/>
      <c r="I534" s="57"/>
      <c r="J534" s="59">
        <f>ROUND(SUM(E534:H534),0)</f>
        <v>0</v>
      </c>
      <c r="K534" s="4"/>
      <c r="L534" s="4"/>
      <c r="M534" s="4"/>
      <c r="N534" s="4"/>
    </row>
    <row r="535" spans="1:17" ht="20.25" customHeight="1">
      <c r="A535" s="106">
        <v>535</v>
      </c>
      <c r="B535" s="169"/>
      <c r="C535" s="314">
        <v>2260</v>
      </c>
      <c r="D535" s="59" t="s">
        <v>181</v>
      </c>
      <c r="E535" s="8"/>
      <c r="F535" s="8"/>
      <c r="G535" s="8"/>
      <c r="H535" s="8"/>
      <c r="I535" s="57"/>
      <c r="J535" s="59">
        <f>ROUND(SUM(E535:H535),0)</f>
        <v>0</v>
      </c>
      <c r="K535" s="4"/>
      <c r="L535" s="4"/>
      <c r="M535" s="4"/>
      <c r="N535" s="4"/>
    </row>
    <row r="536" spans="1:17" ht="20.25" customHeight="1">
      <c r="A536" s="106">
        <v>536</v>
      </c>
      <c r="B536" s="169"/>
      <c r="C536" s="316">
        <v>2270</v>
      </c>
      <c r="D536" s="317" t="s">
        <v>205</v>
      </c>
      <c r="E536" s="57"/>
      <c r="F536" s="57"/>
      <c r="G536" s="57"/>
      <c r="H536" s="57"/>
      <c r="I536" s="8">
        <v>1181390.18</v>
      </c>
      <c r="J536" s="59">
        <f>ROUND(I536,0)</f>
        <v>1181390</v>
      </c>
      <c r="K536" s="4"/>
      <c r="L536" s="4"/>
      <c r="M536" s="4"/>
      <c r="N536" s="4"/>
    </row>
    <row r="537" spans="1:17" ht="20.25" customHeight="1">
      <c r="A537" s="106">
        <v>537</v>
      </c>
      <c r="B537" s="169"/>
      <c r="C537" s="314">
        <v>2280</v>
      </c>
      <c r="D537" s="307" t="s">
        <v>89</v>
      </c>
      <c r="E537" s="59">
        <f>ROUND(SUM(E528:E535),0)</f>
        <v>738933</v>
      </c>
      <c r="F537" s="59">
        <f>ROUND(SUM(F528:F535),0)</f>
        <v>99777</v>
      </c>
      <c r="G537" s="59">
        <f>ROUND(SUM(G528:G535),0)</f>
        <v>0</v>
      </c>
      <c r="H537" s="59">
        <f>ROUND(H528+SUM(H533:H535),0)</f>
        <v>0</v>
      </c>
      <c r="I537" s="59">
        <f>ROUND(I536+I532,0)</f>
        <v>1181390</v>
      </c>
      <c r="J537" s="59">
        <f>ROUND(SUM(E537:I537),0)</f>
        <v>2020100</v>
      </c>
      <c r="K537" s="4"/>
      <c r="L537" s="4"/>
      <c r="M537" s="4"/>
      <c r="N537" s="4"/>
    </row>
    <row r="538" spans="1:17" ht="20.25" customHeight="1">
      <c r="A538" s="106">
        <v>538</v>
      </c>
      <c r="B538" s="169"/>
      <c r="C538" s="314">
        <v>2290</v>
      </c>
      <c r="D538" s="60" t="s">
        <v>206</v>
      </c>
      <c r="E538" s="59">
        <f>ROUND(E485+E490+E519+E537,0)</f>
        <v>738933</v>
      </c>
      <c r="F538" s="59">
        <f>ROUND(F485+F490+F519+F537,0)</f>
        <v>99777</v>
      </c>
      <c r="G538" s="59">
        <f>ROUND(G485+G490+G519+G537,0)</f>
        <v>0</v>
      </c>
      <c r="H538" s="59">
        <f>ROUND(H485+H490+H519+H537,0)</f>
        <v>0</v>
      </c>
      <c r="I538" s="59">
        <f ca="1">ROUND(SUM(I481:I484,I486:I489,I491:I502,I508:I526)+I537,0)</f>
        <v>5768166</v>
      </c>
      <c r="J538" s="59">
        <f ca="1">ROUND(SUM(E538:I538),0)</f>
        <v>6606876</v>
      </c>
      <c r="K538" s="4"/>
      <c r="L538" s="4"/>
      <c r="M538" s="4"/>
      <c r="N538" s="4"/>
    </row>
    <row r="539" spans="1:17" ht="20.25" customHeight="1">
      <c r="A539" s="106"/>
      <c r="B539" s="4"/>
      <c r="C539" s="321"/>
      <c r="D539" s="13"/>
      <c r="E539" s="4"/>
      <c r="F539" s="4"/>
      <c r="G539" s="4"/>
      <c r="H539" s="4"/>
      <c r="I539" s="4"/>
      <c r="J539" s="4"/>
      <c r="K539" s="4"/>
      <c r="L539" s="4"/>
      <c r="M539" s="4"/>
      <c r="N539" s="4"/>
      <c r="O539" s="4"/>
    </row>
    <row r="540" spans="1:17" ht="20.25" customHeight="1">
      <c r="A540" s="106"/>
      <c r="B540" s="4"/>
      <c r="C540" s="321"/>
      <c r="D540" s="4"/>
      <c r="E540" s="4"/>
      <c r="F540" s="4"/>
      <c r="G540" s="4"/>
      <c r="H540" s="4"/>
      <c r="I540" s="4"/>
      <c r="J540" s="4"/>
      <c r="K540" s="4"/>
      <c r="L540" s="4"/>
      <c r="M540" s="4"/>
      <c r="N540" s="4"/>
      <c r="O540" s="4"/>
      <c r="P540" s="4"/>
      <c r="Q540" s="4"/>
    </row>
    <row r="541" spans="1:17" ht="20.25" customHeight="1">
      <c r="A541" s="106"/>
      <c r="B541" s="4"/>
      <c r="C541" s="13" t="s">
        <v>18</v>
      </c>
      <c r="D541" s="13"/>
      <c r="E541" s="187" t="s">
        <v>19</v>
      </c>
      <c r="F541" s="187">
        <v>2</v>
      </c>
      <c r="G541" s="187">
        <v>3</v>
      </c>
      <c r="H541" s="187">
        <v>4</v>
      </c>
      <c r="I541" s="187">
        <v>5</v>
      </c>
      <c r="J541" s="187">
        <v>6</v>
      </c>
      <c r="K541" s="187">
        <v>7</v>
      </c>
      <c r="L541" s="187">
        <v>8</v>
      </c>
      <c r="M541" s="187">
        <v>9</v>
      </c>
      <c r="N541" s="187">
        <v>10</v>
      </c>
      <c r="O541" s="272">
        <v>11</v>
      </c>
      <c r="P541" s="187">
        <v>12</v>
      </c>
      <c r="Q541" s="187">
        <v>13</v>
      </c>
    </row>
    <row r="542" spans="1:17" ht="20.25" customHeight="1">
      <c r="A542" s="106"/>
      <c r="B542" s="4"/>
      <c r="C542" s="13" t="s">
        <v>21</v>
      </c>
      <c r="D542" s="13"/>
      <c r="E542" s="716" t="s">
        <v>207</v>
      </c>
      <c r="F542" s="717"/>
      <c r="G542" s="717"/>
      <c r="H542" s="718"/>
      <c r="I542" s="716" t="s">
        <v>208</v>
      </c>
      <c r="J542" s="718"/>
      <c r="K542" s="716" t="s">
        <v>209</v>
      </c>
      <c r="L542" s="717"/>
      <c r="M542" s="717"/>
      <c r="N542" s="717"/>
      <c r="O542" s="717"/>
      <c r="P542" s="718"/>
      <c r="Q542" s="190"/>
    </row>
    <row r="543" spans="1:17" ht="20.25" customHeight="1">
      <c r="A543" s="106"/>
      <c r="B543" s="4"/>
      <c r="C543" s="13" t="s">
        <v>210</v>
      </c>
      <c r="E543" s="514"/>
      <c r="F543" s="514"/>
      <c r="G543" s="515" t="s">
        <v>211</v>
      </c>
      <c r="H543" s="516"/>
      <c r="I543" s="515" t="s">
        <v>212</v>
      </c>
      <c r="J543" s="517"/>
      <c r="K543" s="517"/>
      <c r="L543" s="517" t="s">
        <v>213</v>
      </c>
      <c r="M543" s="517" t="s">
        <v>214</v>
      </c>
      <c r="N543" s="517"/>
      <c r="O543" s="517"/>
      <c r="P543" s="517" t="s">
        <v>215</v>
      </c>
      <c r="Q543" s="192"/>
    </row>
    <row r="544" spans="1:17" ht="20.25" customHeight="1">
      <c r="A544" s="106"/>
      <c r="B544" s="4"/>
      <c r="C544" s="13" t="s">
        <v>216</v>
      </c>
      <c r="E544" s="518" t="s">
        <v>217</v>
      </c>
      <c r="F544" s="518" t="s">
        <v>218</v>
      </c>
      <c r="G544" s="518" t="s">
        <v>219</v>
      </c>
      <c r="H544" s="519"/>
      <c r="I544" s="518" t="s">
        <v>219</v>
      </c>
      <c r="J544" s="519"/>
      <c r="K544" s="520" t="s">
        <v>220</v>
      </c>
      <c r="L544" s="520" t="s">
        <v>221</v>
      </c>
      <c r="M544" s="520" t="s">
        <v>222</v>
      </c>
      <c r="N544" s="520" t="s">
        <v>223</v>
      </c>
      <c r="O544" s="520" t="s">
        <v>224</v>
      </c>
      <c r="P544" s="520" t="s">
        <v>225</v>
      </c>
      <c r="Q544" s="192"/>
    </row>
    <row r="545" spans="1:17" ht="20.25" customHeight="1">
      <c r="A545" s="106"/>
      <c r="B545" s="4"/>
      <c r="C545" s="13" t="s">
        <v>226</v>
      </c>
      <c r="E545" s="521" t="s">
        <v>227</v>
      </c>
      <c r="F545" s="521" t="s">
        <v>228</v>
      </c>
      <c r="G545" s="521" t="s">
        <v>229</v>
      </c>
      <c r="H545" s="521" t="s">
        <v>58</v>
      </c>
      <c r="I545" s="521" t="s">
        <v>229</v>
      </c>
      <c r="J545" s="522" t="s">
        <v>58</v>
      </c>
      <c r="K545" s="522" t="s">
        <v>230</v>
      </c>
      <c r="L545" s="522" t="s">
        <v>231</v>
      </c>
      <c r="M545" s="522" t="s">
        <v>232</v>
      </c>
      <c r="N545" s="522" t="s">
        <v>233</v>
      </c>
      <c r="O545" s="522" t="s">
        <v>234</v>
      </c>
      <c r="P545" s="522" t="s">
        <v>235</v>
      </c>
      <c r="Q545" s="194" t="s">
        <v>133</v>
      </c>
    </row>
    <row r="546" spans="1:17" ht="20.25" customHeight="1">
      <c r="A546" s="106"/>
      <c r="B546" s="4"/>
      <c r="C546" s="321"/>
      <c r="D546" s="4"/>
      <c r="E546" s="4"/>
      <c r="F546" s="4"/>
      <c r="G546" s="4"/>
      <c r="H546" s="4"/>
      <c r="I546" s="4"/>
      <c r="J546" s="4"/>
      <c r="K546" s="4"/>
      <c r="L546" s="4"/>
      <c r="M546" s="4"/>
      <c r="N546" s="4"/>
      <c r="O546" s="4"/>
      <c r="P546" s="4"/>
      <c r="Q546" s="4"/>
    </row>
    <row r="547" spans="1:17" ht="20.25" customHeight="1">
      <c r="A547" s="106">
        <v>547</v>
      </c>
      <c r="B547" s="169"/>
      <c r="C547" s="314">
        <v>2801</v>
      </c>
      <c r="D547" s="59" t="s">
        <v>83</v>
      </c>
      <c r="E547" s="59">
        <f>schedule20!E16</f>
        <v>0</v>
      </c>
      <c r="F547" s="59">
        <f>schedule20!F16</f>
        <v>0</v>
      </c>
      <c r="G547" s="59">
        <f>SUM(schedule20!G16:M16)</f>
        <v>0</v>
      </c>
      <c r="H547" s="59">
        <f>schedule20!N16</f>
        <v>0</v>
      </c>
      <c r="I547" s="59">
        <f>SUM(schedule20!P16:Q16)</f>
        <v>0</v>
      </c>
      <c r="J547" s="59">
        <f>schedule20!R16</f>
        <v>0</v>
      </c>
      <c r="K547" s="57"/>
      <c r="L547" s="8"/>
      <c r="M547" s="8"/>
      <c r="N547" s="8"/>
      <c r="O547" s="8"/>
      <c r="P547" s="8"/>
      <c r="Q547" s="59">
        <f t="shared" ref="Q547:Q555" si="51">SUM(E547:P547)</f>
        <v>0</v>
      </c>
    </row>
    <row r="548" spans="1:17" ht="20.25" customHeight="1">
      <c r="A548" s="106">
        <v>548</v>
      </c>
      <c r="B548" s="169"/>
      <c r="C548" s="314">
        <v>2802</v>
      </c>
      <c r="D548" s="59" t="s">
        <v>90</v>
      </c>
      <c r="E548" s="59">
        <f>schedule20!E17</f>
        <v>0</v>
      </c>
      <c r="F548" s="59">
        <f>schedule20!F17</f>
        <v>0</v>
      </c>
      <c r="G548" s="59">
        <f>SUM(schedule20!G17:M17)</f>
        <v>0</v>
      </c>
      <c r="H548" s="59">
        <f>schedule20!N17</f>
        <v>0</v>
      </c>
      <c r="I548" s="59">
        <f>SUM(schedule20!P17:Q17)</f>
        <v>0</v>
      </c>
      <c r="J548" s="59">
        <f>schedule20!R17</f>
        <v>0</v>
      </c>
      <c r="K548" s="57"/>
      <c r="L548" s="8"/>
      <c r="M548" s="8"/>
      <c r="N548" s="8"/>
      <c r="O548" s="8"/>
      <c r="P548" s="8"/>
      <c r="Q548" s="59">
        <f t="shared" si="51"/>
        <v>0</v>
      </c>
    </row>
    <row r="549" spans="1:17" ht="20.25" customHeight="1">
      <c r="A549" s="106">
        <v>549</v>
      </c>
      <c r="B549" s="169"/>
      <c r="C549" s="314">
        <v>2803</v>
      </c>
      <c r="D549" s="59" t="s">
        <v>92</v>
      </c>
      <c r="E549" s="59">
        <f>schedule20!E18</f>
        <v>0</v>
      </c>
      <c r="F549" s="59">
        <f>schedule20!F18</f>
        <v>0</v>
      </c>
      <c r="G549" s="59">
        <f>SUM(schedule20!G18:M18)</f>
        <v>0</v>
      </c>
      <c r="H549" s="59">
        <f>schedule20!N18</f>
        <v>0</v>
      </c>
      <c r="I549" s="59">
        <f>SUM(schedule20!P18:Q18)</f>
        <v>0</v>
      </c>
      <c r="J549" s="59">
        <f>schedule20!R18</f>
        <v>0</v>
      </c>
      <c r="K549" s="57"/>
      <c r="L549" s="8"/>
      <c r="M549" s="8"/>
      <c r="N549" s="8"/>
      <c r="O549" s="8"/>
      <c r="P549" s="8"/>
      <c r="Q549" s="59">
        <f t="shared" si="51"/>
        <v>0</v>
      </c>
    </row>
    <row r="550" spans="1:17" ht="20.25" customHeight="1">
      <c r="A550" s="106">
        <v>550</v>
      </c>
      <c r="B550" s="169"/>
      <c r="C550" s="314">
        <v>2804</v>
      </c>
      <c r="D550" s="59" t="s">
        <v>93</v>
      </c>
      <c r="E550" s="59">
        <f>schedule20!E19</f>
        <v>0</v>
      </c>
      <c r="F550" s="59">
        <f>schedule20!F19</f>
        <v>0</v>
      </c>
      <c r="G550" s="59">
        <f>SUM(schedule20!G19:M19)</f>
        <v>0</v>
      </c>
      <c r="H550" s="59">
        <f>schedule20!N19</f>
        <v>0</v>
      </c>
      <c r="I550" s="59">
        <f>SUM(schedule20!P19:Q19)</f>
        <v>0</v>
      </c>
      <c r="J550" s="59">
        <f>schedule20!R19</f>
        <v>0</v>
      </c>
      <c r="K550" s="57"/>
      <c r="L550" s="8"/>
      <c r="M550" s="8"/>
      <c r="N550" s="8"/>
      <c r="O550" s="8"/>
      <c r="P550" s="8"/>
      <c r="Q550" s="59">
        <f t="shared" si="51"/>
        <v>0</v>
      </c>
    </row>
    <row r="551" spans="1:17" ht="20.25" customHeight="1">
      <c r="A551" s="106">
        <v>551</v>
      </c>
      <c r="B551" s="169"/>
      <c r="C551" s="314">
        <v>2805</v>
      </c>
      <c r="D551" s="59" t="s">
        <v>94</v>
      </c>
      <c r="E551" s="59">
        <f>schedule20!E20</f>
        <v>0</v>
      </c>
      <c r="F551" s="59">
        <f>schedule20!F20</f>
        <v>0</v>
      </c>
      <c r="G551" s="59">
        <f>SUM(schedule20!G20:M20)</f>
        <v>0</v>
      </c>
      <c r="H551" s="59">
        <f>schedule20!N20</f>
        <v>0</v>
      </c>
      <c r="I551" s="59">
        <f>SUM(schedule20!P20:Q20)</f>
        <v>0</v>
      </c>
      <c r="J551" s="59">
        <f>schedule20!R20</f>
        <v>0</v>
      </c>
      <c r="K551" s="57"/>
      <c r="L551" s="8"/>
      <c r="M551" s="8"/>
      <c r="N551" s="8"/>
      <c r="O551" s="8"/>
      <c r="P551" s="8"/>
      <c r="Q551" s="59">
        <f t="shared" si="51"/>
        <v>0</v>
      </c>
    </row>
    <row r="552" spans="1:17" ht="20.25" customHeight="1">
      <c r="A552" s="106">
        <v>552</v>
      </c>
      <c r="B552" s="169"/>
      <c r="C552" s="314">
        <v>2806</v>
      </c>
      <c r="D552" s="59" t="s">
        <v>95</v>
      </c>
      <c r="E552" s="59">
        <f>schedule20!E21</f>
        <v>0</v>
      </c>
      <c r="F552" s="59">
        <f>schedule20!F21</f>
        <v>0</v>
      </c>
      <c r="G552" s="59">
        <f>SUM(schedule20!G21:M21)</f>
        <v>0</v>
      </c>
      <c r="H552" s="59">
        <f>schedule20!N21</f>
        <v>0</v>
      </c>
      <c r="I552" s="59">
        <f>SUM(schedule20!P21:Q21)</f>
        <v>0</v>
      </c>
      <c r="J552" s="59">
        <f>schedule20!R21</f>
        <v>0</v>
      </c>
      <c r="K552" s="57"/>
      <c r="L552" s="8"/>
      <c r="M552" s="8"/>
      <c r="N552" s="8"/>
      <c r="O552" s="8"/>
      <c r="P552" s="8"/>
      <c r="Q552" s="59">
        <f t="shared" si="51"/>
        <v>0</v>
      </c>
    </row>
    <row r="553" spans="1:17" ht="20.25" customHeight="1">
      <c r="A553" s="106">
        <v>553</v>
      </c>
      <c r="B553" s="169"/>
      <c r="C553" s="314">
        <v>2807</v>
      </c>
      <c r="D553" s="59" t="s">
        <v>236</v>
      </c>
      <c r="E553" s="59">
        <f>schedule20!E22</f>
        <v>0</v>
      </c>
      <c r="F553" s="59">
        <f>schedule20!F22</f>
        <v>0</v>
      </c>
      <c r="G553" s="59">
        <f>SUM(schedule20!G22:M22)</f>
        <v>0</v>
      </c>
      <c r="H553" s="59">
        <f>schedule20!N22</f>
        <v>0</v>
      </c>
      <c r="I553" s="59">
        <f>SUM(schedule20!P22:Q22)</f>
        <v>0</v>
      </c>
      <c r="J553" s="59">
        <f>schedule20!R22</f>
        <v>0</v>
      </c>
      <c r="K553" s="57"/>
      <c r="L553" s="8"/>
      <c r="M553" s="8"/>
      <c r="N553" s="8"/>
      <c r="O553" s="8"/>
      <c r="P553" s="8"/>
      <c r="Q553" s="59">
        <f t="shared" si="51"/>
        <v>0</v>
      </c>
    </row>
    <row r="554" spans="1:17" ht="20.25" customHeight="1">
      <c r="A554" s="106">
        <v>554</v>
      </c>
      <c r="B554" s="169"/>
      <c r="C554" s="314">
        <v>2808</v>
      </c>
      <c r="D554" s="59" t="s">
        <v>97</v>
      </c>
      <c r="E554" s="59">
        <f>schedule20!E23</f>
        <v>0</v>
      </c>
      <c r="F554" s="59">
        <f>schedule20!F23</f>
        <v>0</v>
      </c>
      <c r="G554" s="59">
        <f>SUM(schedule20!G23:M23)</f>
        <v>0</v>
      </c>
      <c r="H554" s="59">
        <f>schedule20!N23</f>
        <v>0</v>
      </c>
      <c r="I554" s="59">
        <f>SUM(schedule20!P23:Q23)</f>
        <v>0</v>
      </c>
      <c r="J554" s="59">
        <f>schedule20!R23</f>
        <v>0</v>
      </c>
      <c r="K554" s="57"/>
      <c r="L554" s="8"/>
      <c r="M554" s="8"/>
      <c r="N554" s="8"/>
      <c r="O554" s="8"/>
      <c r="P554" s="8"/>
      <c r="Q554" s="59">
        <f t="shared" si="51"/>
        <v>0</v>
      </c>
    </row>
    <row r="555" spans="1:17" ht="20.25" customHeight="1">
      <c r="A555" s="106">
        <v>555</v>
      </c>
      <c r="B555" s="169"/>
      <c r="C555" s="314">
        <v>2809</v>
      </c>
      <c r="D555" s="59" t="s">
        <v>98</v>
      </c>
      <c r="E555" s="59">
        <f>schedule20!E24</f>
        <v>0</v>
      </c>
      <c r="F555" s="59">
        <f>schedule20!F24</f>
        <v>0</v>
      </c>
      <c r="G555" s="59">
        <f>SUM(schedule20!G24:M24)</f>
        <v>0</v>
      </c>
      <c r="H555" s="59">
        <f>schedule20!N24</f>
        <v>0</v>
      </c>
      <c r="I555" s="59">
        <f>SUM(schedule20!P24:Q24)</f>
        <v>0</v>
      </c>
      <c r="J555" s="59">
        <f>schedule20!R24</f>
        <v>0</v>
      </c>
      <c r="K555" s="57"/>
      <c r="L555" s="8"/>
      <c r="M555" s="8"/>
      <c r="N555" s="8"/>
      <c r="O555" s="8"/>
      <c r="P555" s="8"/>
      <c r="Q555" s="59">
        <f t="shared" si="51"/>
        <v>0</v>
      </c>
    </row>
    <row r="556" spans="1:17" ht="20.25" customHeight="1">
      <c r="A556" s="106"/>
      <c r="B556" s="4"/>
      <c r="C556" s="311"/>
      <c r="D556" s="77" t="s">
        <v>237</v>
      </c>
      <c r="E556" s="13"/>
      <c r="F556" s="13"/>
      <c r="G556"/>
      <c r="H556" s="58"/>
      <c r="I556" s="58"/>
      <c r="J556" s="58"/>
      <c r="K556" s="58"/>
      <c r="L556" s="58"/>
      <c r="M556" s="58"/>
      <c r="N556" s="58"/>
      <c r="O556" s="58"/>
      <c r="P556" s="58"/>
      <c r="Q556" s="58"/>
    </row>
    <row r="557" spans="1:17" ht="20.25" customHeight="1">
      <c r="A557" s="106">
        <v>557</v>
      </c>
      <c r="B557" s="169"/>
      <c r="C557" s="314">
        <v>2810</v>
      </c>
      <c r="D557" s="59" t="s">
        <v>238</v>
      </c>
      <c r="E557" s="59">
        <f ca="1">E847</f>
        <v>0</v>
      </c>
      <c r="F557" s="59">
        <f ca="1">F847</f>
        <v>0</v>
      </c>
      <c r="G557" s="59">
        <f ca="1">G847</f>
        <v>0</v>
      </c>
      <c r="H557" s="59">
        <v>31383</v>
      </c>
      <c r="I557" s="59">
        <f t="shared" ref="I557:M557" ca="1" si="52">I847</f>
        <v>0</v>
      </c>
      <c r="J557" s="59">
        <f t="shared" ca="1" si="52"/>
        <v>0</v>
      </c>
      <c r="K557" s="59">
        <f t="shared" ca="1" si="52"/>
        <v>0</v>
      </c>
      <c r="L557" s="59">
        <f t="shared" ca="1" si="52"/>
        <v>0</v>
      </c>
      <c r="M557" s="59">
        <f t="shared" ca="1" si="52"/>
        <v>0</v>
      </c>
      <c r="N557" s="156"/>
      <c r="O557" s="57"/>
      <c r="P557" s="59">
        <f ca="1">N847</f>
        <v>0</v>
      </c>
      <c r="Q557" s="59">
        <f t="shared" ref="Q557:Q585" ca="1" si="53">SUM(E557:P557)</f>
        <v>31383</v>
      </c>
    </row>
    <row r="558" spans="1:17" ht="20.25" customHeight="1">
      <c r="A558" s="106">
        <v>558</v>
      </c>
      <c r="B558" s="169"/>
      <c r="C558" s="314">
        <v>2811</v>
      </c>
      <c r="D558" s="59" t="s">
        <v>239</v>
      </c>
      <c r="E558" s="59">
        <f ca="1">E855</f>
        <v>0</v>
      </c>
      <c r="F558" s="59">
        <f ca="1">F855</f>
        <v>0</v>
      </c>
      <c r="G558" s="59">
        <f ca="1">G855</f>
        <v>0</v>
      </c>
      <c r="H558" s="59">
        <f t="shared" ref="H558:M558" ca="1" si="54">H855</f>
        <v>0</v>
      </c>
      <c r="I558" s="59">
        <f t="shared" ca="1" si="54"/>
        <v>0</v>
      </c>
      <c r="J558" s="59">
        <f t="shared" ca="1" si="54"/>
        <v>0</v>
      </c>
      <c r="K558" s="59">
        <f t="shared" ca="1" si="54"/>
        <v>0</v>
      </c>
      <c r="L558" s="59">
        <f t="shared" ca="1" si="54"/>
        <v>0</v>
      </c>
      <c r="M558" s="59">
        <f t="shared" ca="1" si="54"/>
        <v>0</v>
      </c>
      <c r="N558" s="156"/>
      <c r="O558" s="57"/>
      <c r="P558" s="59">
        <f ca="1">N855</f>
        <v>0</v>
      </c>
      <c r="Q558" s="59">
        <f t="shared" ca="1" si="53"/>
        <v>0</v>
      </c>
    </row>
    <row r="559" spans="1:17" ht="20.25" customHeight="1">
      <c r="A559" s="106">
        <v>559</v>
      </c>
      <c r="B559" s="169"/>
      <c r="C559" s="314">
        <v>2812</v>
      </c>
      <c r="D559" s="59" t="s">
        <v>102</v>
      </c>
      <c r="E559" s="59">
        <f ca="1">E863</f>
        <v>0</v>
      </c>
      <c r="F559" s="59">
        <f t="shared" ref="F559:M559" ca="1" si="55">F863</f>
        <v>0</v>
      </c>
      <c r="G559" s="59">
        <f t="shared" ca="1" si="55"/>
        <v>0</v>
      </c>
      <c r="H559" s="59">
        <f t="shared" ca="1" si="55"/>
        <v>0</v>
      </c>
      <c r="I559" s="59">
        <f t="shared" ca="1" si="55"/>
        <v>0</v>
      </c>
      <c r="J559" s="59">
        <f t="shared" ca="1" si="55"/>
        <v>0</v>
      </c>
      <c r="K559" s="59">
        <f t="shared" ca="1" si="55"/>
        <v>0</v>
      </c>
      <c r="L559" s="59">
        <f t="shared" ca="1" si="55"/>
        <v>0</v>
      </c>
      <c r="M559" s="59">
        <f t="shared" ca="1" si="55"/>
        <v>0</v>
      </c>
      <c r="N559" s="156"/>
      <c r="O559" s="57"/>
      <c r="P559" s="59">
        <f ca="1">N863</f>
        <v>0</v>
      </c>
      <c r="Q559" s="59">
        <f t="shared" ca="1" si="53"/>
        <v>0</v>
      </c>
    </row>
    <row r="560" spans="1:17" ht="20.25" customHeight="1">
      <c r="A560" s="106">
        <v>560</v>
      </c>
      <c r="B560" s="169"/>
      <c r="C560" s="314">
        <v>2814</v>
      </c>
      <c r="D560" s="59" t="s">
        <v>103</v>
      </c>
      <c r="E560" s="59">
        <f ca="1">E871</f>
        <v>0</v>
      </c>
      <c r="F560" s="59">
        <f ca="1">F871</f>
        <v>0</v>
      </c>
      <c r="G560" s="59">
        <f ca="1">G871</f>
        <v>0</v>
      </c>
      <c r="H560" s="59">
        <v>56691</v>
      </c>
      <c r="I560" s="59">
        <f t="shared" ref="I560:M560" ca="1" si="56">I871</f>
        <v>0</v>
      </c>
      <c r="J560" s="59">
        <f t="shared" ca="1" si="56"/>
        <v>0</v>
      </c>
      <c r="K560" s="59">
        <f t="shared" ca="1" si="56"/>
        <v>0</v>
      </c>
      <c r="L560" s="59">
        <f t="shared" ca="1" si="56"/>
        <v>0</v>
      </c>
      <c r="M560" s="59">
        <f t="shared" ca="1" si="56"/>
        <v>0</v>
      </c>
      <c r="N560" s="156"/>
      <c r="O560" s="57"/>
      <c r="P560" s="59">
        <f ca="1">N871</f>
        <v>0</v>
      </c>
      <c r="Q560" s="59">
        <f t="shared" ca="1" si="53"/>
        <v>56691</v>
      </c>
    </row>
    <row r="561" spans="1:17" ht="20.25" customHeight="1">
      <c r="A561" s="106">
        <v>561</v>
      </c>
      <c r="B561" s="169"/>
      <c r="C561" s="314">
        <v>2815</v>
      </c>
      <c r="D561" s="59" t="s">
        <v>104</v>
      </c>
      <c r="E561" s="59">
        <f ca="1">E876</f>
        <v>0</v>
      </c>
      <c r="F561" s="59">
        <f ca="1">F876</f>
        <v>0</v>
      </c>
      <c r="G561" s="59">
        <f ca="1">G876</f>
        <v>0</v>
      </c>
      <c r="H561" s="59">
        <f t="shared" ref="H561:M561" ca="1" si="57">H876</f>
        <v>0</v>
      </c>
      <c r="I561" s="59">
        <f t="shared" ca="1" si="57"/>
        <v>0</v>
      </c>
      <c r="J561" s="59">
        <f t="shared" ca="1" si="57"/>
        <v>0</v>
      </c>
      <c r="K561" s="59">
        <f t="shared" ca="1" si="57"/>
        <v>0</v>
      </c>
      <c r="L561" s="59">
        <f t="shared" ca="1" si="57"/>
        <v>0</v>
      </c>
      <c r="M561" s="59">
        <f t="shared" ca="1" si="57"/>
        <v>0</v>
      </c>
      <c r="N561" s="156"/>
      <c r="O561" s="57"/>
      <c r="P561" s="59">
        <f ca="1">N876</f>
        <v>0</v>
      </c>
      <c r="Q561" s="59">
        <f t="shared" ca="1" si="53"/>
        <v>0</v>
      </c>
    </row>
    <row r="562" spans="1:17" ht="20.25" customHeight="1">
      <c r="A562" s="106">
        <v>562</v>
      </c>
      <c r="B562" s="169"/>
      <c r="C562" s="314">
        <v>2816</v>
      </c>
      <c r="D562" s="59" t="s">
        <v>240</v>
      </c>
      <c r="E562" s="59">
        <v>371286</v>
      </c>
      <c r="F562" s="59"/>
      <c r="G562" s="59"/>
      <c r="H562" s="59">
        <v>777225</v>
      </c>
      <c r="I562" s="59">
        <f t="shared" ref="I562:L562" ca="1" si="58">I878</f>
        <v>0</v>
      </c>
      <c r="J562" s="59">
        <f t="shared" ca="1" si="58"/>
        <v>0</v>
      </c>
      <c r="K562" s="59">
        <f t="shared" ca="1" si="58"/>
        <v>0</v>
      </c>
      <c r="L562" s="59">
        <f t="shared" ca="1" si="58"/>
        <v>0</v>
      </c>
      <c r="M562" s="59">
        <v>94911</v>
      </c>
      <c r="N562" s="156"/>
      <c r="O562" s="57"/>
      <c r="P562" s="59">
        <f ca="1">N878</f>
        <v>0</v>
      </c>
      <c r="Q562" s="59">
        <f t="shared" ca="1" si="53"/>
        <v>1243422</v>
      </c>
    </row>
    <row r="563" spans="1:17" ht="20.25" customHeight="1">
      <c r="A563" s="106">
        <v>563</v>
      </c>
      <c r="B563" s="169"/>
      <c r="C563" s="314">
        <v>2817</v>
      </c>
      <c r="D563" s="59" t="s">
        <v>241</v>
      </c>
      <c r="E563" s="59">
        <f ca="1">E886</f>
        <v>0</v>
      </c>
      <c r="F563" s="59">
        <f ca="1">F886</f>
        <v>0</v>
      </c>
      <c r="G563" s="59">
        <f ca="1">G886</f>
        <v>0</v>
      </c>
      <c r="H563" s="59">
        <f t="shared" ref="H563:M563" ca="1" si="59">H886</f>
        <v>0</v>
      </c>
      <c r="I563" s="59">
        <f t="shared" ca="1" si="59"/>
        <v>0</v>
      </c>
      <c r="J563" s="59">
        <f t="shared" ca="1" si="59"/>
        <v>0</v>
      </c>
      <c r="K563" s="59">
        <f t="shared" ca="1" si="59"/>
        <v>0</v>
      </c>
      <c r="L563" s="59">
        <f t="shared" ca="1" si="59"/>
        <v>0</v>
      </c>
      <c r="M563" s="59">
        <f t="shared" ca="1" si="59"/>
        <v>0</v>
      </c>
      <c r="N563" s="156"/>
      <c r="O563" s="57"/>
      <c r="P563" s="59">
        <f ca="1">N886</f>
        <v>0</v>
      </c>
      <c r="Q563" s="59">
        <f t="shared" ca="1" si="53"/>
        <v>0</v>
      </c>
    </row>
    <row r="564" spans="1:17" ht="20.25" customHeight="1">
      <c r="A564" s="106">
        <v>564</v>
      </c>
      <c r="B564" s="169"/>
      <c r="C564" s="314">
        <v>2818</v>
      </c>
      <c r="D564" s="59" t="s">
        <v>108</v>
      </c>
      <c r="E564" s="59">
        <f ca="1">E891</f>
        <v>0</v>
      </c>
      <c r="F564" s="59">
        <f ca="1">F891</f>
        <v>0</v>
      </c>
      <c r="G564" s="59">
        <f ca="1">G891</f>
        <v>0</v>
      </c>
      <c r="H564" s="59">
        <v>6843</v>
      </c>
      <c r="I564" s="59">
        <f t="shared" ref="I564:M564" ca="1" si="60">I891</f>
        <v>0</v>
      </c>
      <c r="J564" s="59">
        <f t="shared" ca="1" si="60"/>
        <v>0</v>
      </c>
      <c r="K564" s="59">
        <f t="shared" ca="1" si="60"/>
        <v>0</v>
      </c>
      <c r="L564" s="59">
        <f t="shared" ca="1" si="60"/>
        <v>0</v>
      </c>
      <c r="M564" s="59">
        <f t="shared" ca="1" si="60"/>
        <v>0</v>
      </c>
      <c r="N564" s="156"/>
      <c r="O564" s="57"/>
      <c r="P564" s="59">
        <f ca="1">N891</f>
        <v>0</v>
      </c>
      <c r="Q564" s="59">
        <f t="shared" ca="1" si="53"/>
        <v>6843</v>
      </c>
    </row>
    <row r="565" spans="1:17" ht="20.25" customHeight="1">
      <c r="A565" s="106">
        <v>565</v>
      </c>
      <c r="B565" s="169"/>
      <c r="C565" s="314">
        <v>2819</v>
      </c>
      <c r="D565" s="59" t="s">
        <v>109</v>
      </c>
      <c r="E565" s="59">
        <f ca="1">E895</f>
        <v>0</v>
      </c>
      <c r="F565" s="59">
        <f ca="1">F895</f>
        <v>0</v>
      </c>
      <c r="G565" s="59">
        <f ca="1">G895</f>
        <v>0</v>
      </c>
      <c r="H565" s="59">
        <v>41070</v>
      </c>
      <c r="I565" s="59">
        <f t="shared" ref="I565:M565" ca="1" si="61">I895</f>
        <v>0</v>
      </c>
      <c r="J565" s="59">
        <f t="shared" ca="1" si="61"/>
        <v>0</v>
      </c>
      <c r="K565" s="59">
        <f t="shared" ca="1" si="61"/>
        <v>0</v>
      </c>
      <c r="L565" s="59">
        <f t="shared" ca="1" si="61"/>
        <v>0</v>
      </c>
      <c r="M565" s="59">
        <f t="shared" ca="1" si="61"/>
        <v>0</v>
      </c>
      <c r="N565" s="156"/>
      <c r="O565" s="57"/>
      <c r="P565" s="59">
        <f ca="1">N895</f>
        <v>0</v>
      </c>
      <c r="Q565" s="59">
        <f t="shared" ca="1" si="53"/>
        <v>41070</v>
      </c>
    </row>
    <row r="566" spans="1:17" ht="20.25" customHeight="1">
      <c r="A566" s="106">
        <v>566</v>
      </c>
      <c r="B566" s="169"/>
      <c r="C566" s="314">
        <v>2820</v>
      </c>
      <c r="D566" s="59" t="s">
        <v>242</v>
      </c>
      <c r="E566" s="59">
        <f ca="1">E899</f>
        <v>0</v>
      </c>
      <c r="F566" s="59">
        <v>511113</v>
      </c>
      <c r="G566" s="59">
        <f ca="1">G899</f>
        <v>0</v>
      </c>
      <c r="H566" s="59">
        <v>318570</v>
      </c>
      <c r="I566" s="59">
        <f t="shared" ref="I566:M566" ca="1" si="62">I899</f>
        <v>0</v>
      </c>
      <c r="J566" s="59">
        <f t="shared" ca="1" si="62"/>
        <v>0</v>
      </c>
      <c r="K566" s="59">
        <f t="shared" ca="1" si="62"/>
        <v>0</v>
      </c>
      <c r="L566" s="59">
        <f t="shared" ca="1" si="62"/>
        <v>0</v>
      </c>
      <c r="M566" s="59">
        <f t="shared" ca="1" si="62"/>
        <v>0</v>
      </c>
      <c r="N566" s="156"/>
      <c r="O566" s="57"/>
      <c r="P566" s="59">
        <f ca="1">N899</f>
        <v>0</v>
      </c>
      <c r="Q566" s="59">
        <f t="shared" ca="1" si="53"/>
        <v>829683</v>
      </c>
    </row>
    <row r="567" spans="1:17" ht="20.25" customHeight="1">
      <c r="A567" s="106">
        <v>567</v>
      </c>
      <c r="B567" s="169"/>
      <c r="C567" s="314">
        <v>2821</v>
      </c>
      <c r="D567" s="59" t="s">
        <v>111</v>
      </c>
      <c r="E567" s="59">
        <f ca="1">E904</f>
        <v>0</v>
      </c>
      <c r="F567" s="59">
        <f ca="1">F904</f>
        <v>0</v>
      </c>
      <c r="G567" s="59">
        <f ca="1">G904</f>
        <v>0</v>
      </c>
      <c r="H567" s="59">
        <f t="shared" ref="H567:M567" ca="1" si="63">H904</f>
        <v>0</v>
      </c>
      <c r="I567" s="59">
        <f t="shared" ca="1" si="63"/>
        <v>0</v>
      </c>
      <c r="J567" s="59">
        <f t="shared" ca="1" si="63"/>
        <v>0</v>
      </c>
      <c r="K567" s="59">
        <f t="shared" ca="1" si="63"/>
        <v>0</v>
      </c>
      <c r="L567" s="59">
        <f t="shared" ca="1" si="63"/>
        <v>0</v>
      </c>
      <c r="M567" s="59">
        <f t="shared" ca="1" si="63"/>
        <v>0</v>
      </c>
      <c r="N567" s="156"/>
      <c r="O567" s="57"/>
      <c r="P567" s="59">
        <f ca="1">N904</f>
        <v>0</v>
      </c>
      <c r="Q567" s="59">
        <f t="shared" ca="1" si="53"/>
        <v>0</v>
      </c>
    </row>
    <row r="568" spans="1:17" ht="20.25" customHeight="1">
      <c r="A568" s="106">
        <v>568</v>
      </c>
      <c r="B568" s="169"/>
      <c r="C568" s="314">
        <v>2822</v>
      </c>
      <c r="D568" s="59" t="s">
        <v>112</v>
      </c>
      <c r="E568" s="59">
        <f ca="1">E909</f>
        <v>0</v>
      </c>
      <c r="F568" s="59">
        <f t="shared" ref="F568:M568" ca="1" si="64">F909</f>
        <v>0</v>
      </c>
      <c r="G568" s="59">
        <f t="shared" ca="1" si="64"/>
        <v>0</v>
      </c>
      <c r="H568" s="59">
        <f t="shared" ca="1" si="64"/>
        <v>0</v>
      </c>
      <c r="I568" s="59">
        <f t="shared" ca="1" si="64"/>
        <v>0</v>
      </c>
      <c r="J568" s="59">
        <f t="shared" ca="1" si="64"/>
        <v>0</v>
      </c>
      <c r="K568" s="59">
        <f t="shared" ca="1" si="64"/>
        <v>0</v>
      </c>
      <c r="L568" s="59">
        <f t="shared" ca="1" si="64"/>
        <v>0</v>
      </c>
      <c r="M568" s="59">
        <f t="shared" ca="1" si="64"/>
        <v>0</v>
      </c>
      <c r="N568" s="156"/>
      <c r="O568" s="57"/>
      <c r="P568" s="59">
        <f ca="1">N909</f>
        <v>0</v>
      </c>
      <c r="Q568" s="59">
        <f t="shared" ca="1" si="53"/>
        <v>0</v>
      </c>
    </row>
    <row r="569" spans="1:17" ht="20.25" customHeight="1">
      <c r="A569" s="106">
        <v>569</v>
      </c>
      <c r="B569" s="169"/>
      <c r="C569" s="314">
        <v>2823</v>
      </c>
      <c r="D569" s="59" t="s">
        <v>113</v>
      </c>
      <c r="E569" s="59">
        <f ca="1">E917</f>
        <v>0</v>
      </c>
      <c r="F569" s="59">
        <f ca="1">F917</f>
        <v>0</v>
      </c>
      <c r="G569" s="59">
        <f ca="1">G917</f>
        <v>0</v>
      </c>
      <c r="H569" s="59">
        <f t="shared" ref="H569:M569" ca="1" si="65">H917</f>
        <v>0</v>
      </c>
      <c r="I569" s="59">
        <f t="shared" ca="1" si="65"/>
        <v>0</v>
      </c>
      <c r="J569" s="59">
        <f t="shared" ca="1" si="65"/>
        <v>0</v>
      </c>
      <c r="K569" s="59">
        <f t="shared" ca="1" si="65"/>
        <v>0</v>
      </c>
      <c r="L569" s="59">
        <f t="shared" ca="1" si="65"/>
        <v>0</v>
      </c>
      <c r="M569" s="59">
        <f t="shared" ca="1" si="65"/>
        <v>0</v>
      </c>
      <c r="N569" s="156"/>
      <c r="O569" s="57"/>
      <c r="P569" s="59">
        <f ca="1">N917</f>
        <v>0</v>
      </c>
      <c r="Q569" s="59">
        <f t="shared" ca="1" si="53"/>
        <v>0</v>
      </c>
    </row>
    <row r="570" spans="1:17" ht="20.25" customHeight="1">
      <c r="A570" s="106">
        <v>570</v>
      </c>
      <c r="B570" s="169"/>
      <c r="C570" s="314">
        <v>2824</v>
      </c>
      <c r="D570" s="59" t="s">
        <v>114</v>
      </c>
      <c r="E570" s="59">
        <f ca="1">E923</f>
        <v>0</v>
      </c>
      <c r="F570" s="59">
        <f ca="1">F923</f>
        <v>0</v>
      </c>
      <c r="G570" s="59">
        <f ca="1">G923</f>
        <v>0</v>
      </c>
      <c r="H570" s="59">
        <f t="shared" ref="H570:M570" ca="1" si="66">H923</f>
        <v>0</v>
      </c>
      <c r="I570" s="59">
        <f t="shared" ca="1" si="66"/>
        <v>0</v>
      </c>
      <c r="J570" s="59">
        <f t="shared" ca="1" si="66"/>
        <v>0</v>
      </c>
      <c r="K570" s="59">
        <f t="shared" ca="1" si="66"/>
        <v>0</v>
      </c>
      <c r="L570" s="59">
        <f t="shared" ca="1" si="66"/>
        <v>0</v>
      </c>
      <c r="M570" s="59">
        <f t="shared" ca="1" si="66"/>
        <v>0</v>
      </c>
      <c r="N570" s="156"/>
      <c r="O570" s="57"/>
      <c r="P570" s="59">
        <f ca="1">N923</f>
        <v>0</v>
      </c>
      <c r="Q570" s="59">
        <f t="shared" ca="1" si="53"/>
        <v>0</v>
      </c>
    </row>
    <row r="571" spans="1:17" ht="20.25" customHeight="1">
      <c r="A571" s="106">
        <v>571</v>
      </c>
      <c r="B571" s="169"/>
      <c r="C571" s="314">
        <v>2825</v>
      </c>
      <c r="D571" s="59" t="s">
        <v>115</v>
      </c>
      <c r="E571" s="59">
        <f ca="1">E925</f>
        <v>0</v>
      </c>
      <c r="F571" s="59">
        <f ca="1">F925</f>
        <v>0</v>
      </c>
      <c r="G571" s="59">
        <f ca="1">G925</f>
        <v>0</v>
      </c>
      <c r="H571" s="59">
        <f t="shared" ref="H571:M571" ca="1" si="67">H925</f>
        <v>0</v>
      </c>
      <c r="I571" s="59">
        <f t="shared" ca="1" si="67"/>
        <v>0</v>
      </c>
      <c r="J571" s="59">
        <f t="shared" ca="1" si="67"/>
        <v>0</v>
      </c>
      <c r="K571" s="59">
        <f t="shared" ca="1" si="67"/>
        <v>0</v>
      </c>
      <c r="L571" s="59">
        <f t="shared" ca="1" si="67"/>
        <v>0</v>
      </c>
      <c r="M571" s="59">
        <f t="shared" ca="1" si="67"/>
        <v>0</v>
      </c>
      <c r="N571" s="156"/>
      <c r="O571" s="57"/>
      <c r="P571" s="59">
        <f ca="1">N925</f>
        <v>0</v>
      </c>
      <c r="Q571" s="59">
        <f t="shared" ca="1" si="53"/>
        <v>0</v>
      </c>
    </row>
    <row r="572" spans="1:17" ht="20.25" customHeight="1">
      <c r="A572" s="106">
        <v>572</v>
      </c>
      <c r="B572" s="169"/>
      <c r="C572" s="314">
        <v>2826</v>
      </c>
      <c r="D572" s="59" t="s">
        <v>243</v>
      </c>
      <c r="E572" s="59">
        <f ca="1">E931</f>
        <v>0</v>
      </c>
      <c r="F572" s="59">
        <f ca="1">F931</f>
        <v>0</v>
      </c>
      <c r="G572" s="59">
        <f ca="1">G931</f>
        <v>0</v>
      </c>
      <c r="H572" s="59">
        <f t="shared" ref="H572:M572" ca="1" si="68">H931</f>
        <v>0</v>
      </c>
      <c r="I572" s="59">
        <f t="shared" ca="1" si="68"/>
        <v>0</v>
      </c>
      <c r="J572" s="59">
        <f t="shared" ca="1" si="68"/>
        <v>0</v>
      </c>
      <c r="K572" s="59">
        <f t="shared" ca="1" si="68"/>
        <v>0</v>
      </c>
      <c r="L572" s="59">
        <f t="shared" ca="1" si="68"/>
        <v>0</v>
      </c>
      <c r="M572" s="59">
        <f t="shared" ca="1" si="68"/>
        <v>0</v>
      </c>
      <c r="N572" s="156"/>
      <c r="O572" s="57"/>
      <c r="P572" s="59">
        <f ca="1">N931</f>
        <v>0</v>
      </c>
      <c r="Q572" s="59">
        <f t="shared" ca="1" si="53"/>
        <v>0</v>
      </c>
    </row>
    <row r="573" spans="1:17" ht="20.25" customHeight="1">
      <c r="A573" s="106">
        <v>573</v>
      </c>
      <c r="B573" s="169"/>
      <c r="C573" s="314">
        <v>2827</v>
      </c>
      <c r="D573" s="59" t="s">
        <v>117</v>
      </c>
      <c r="E573" s="59">
        <f ca="1">E936</f>
        <v>0</v>
      </c>
      <c r="F573" s="59">
        <f ca="1">F936</f>
        <v>0</v>
      </c>
      <c r="G573" s="59">
        <f ca="1">G936</f>
        <v>0</v>
      </c>
      <c r="H573" s="59">
        <v>770</v>
      </c>
      <c r="I573" s="59">
        <f t="shared" ref="I573:M573" ca="1" si="69">I936</f>
        <v>0</v>
      </c>
      <c r="J573" s="59">
        <f t="shared" ca="1" si="69"/>
        <v>0</v>
      </c>
      <c r="K573" s="59">
        <f t="shared" ca="1" si="69"/>
        <v>0</v>
      </c>
      <c r="L573" s="59">
        <f t="shared" ca="1" si="69"/>
        <v>0</v>
      </c>
      <c r="M573" s="59">
        <f t="shared" ca="1" si="69"/>
        <v>0</v>
      </c>
      <c r="N573" s="156"/>
      <c r="O573" s="57"/>
      <c r="P573" s="59">
        <f ca="1">N936</f>
        <v>0</v>
      </c>
      <c r="Q573" s="59">
        <f t="shared" ca="1" si="53"/>
        <v>770</v>
      </c>
    </row>
    <row r="574" spans="1:17" ht="20.25" customHeight="1">
      <c r="A574" s="106">
        <v>574</v>
      </c>
      <c r="B574" s="169"/>
      <c r="C574" s="314">
        <v>2828</v>
      </c>
      <c r="D574" s="59" t="s">
        <v>118</v>
      </c>
      <c r="E574" s="59">
        <f ca="1">E938</f>
        <v>0</v>
      </c>
      <c r="F574" s="59">
        <f t="shared" ref="F574:M574" ca="1" si="70">F938</f>
        <v>0</v>
      </c>
      <c r="G574" s="59">
        <f t="shared" ca="1" si="70"/>
        <v>0</v>
      </c>
      <c r="H574" s="59">
        <f t="shared" ca="1" si="70"/>
        <v>0</v>
      </c>
      <c r="I574" s="59">
        <f t="shared" ca="1" si="70"/>
        <v>0</v>
      </c>
      <c r="J574" s="59">
        <f t="shared" ca="1" si="70"/>
        <v>0</v>
      </c>
      <c r="K574" s="59">
        <f t="shared" ca="1" si="70"/>
        <v>0</v>
      </c>
      <c r="L574" s="59">
        <f t="shared" ca="1" si="70"/>
        <v>0</v>
      </c>
      <c r="M574" s="59">
        <f t="shared" ca="1" si="70"/>
        <v>0</v>
      </c>
      <c r="N574" s="156"/>
      <c r="O574" s="57"/>
      <c r="P574" s="59">
        <f ca="1">N938</f>
        <v>0</v>
      </c>
      <c r="Q574" s="59">
        <f t="shared" ca="1" si="53"/>
        <v>0</v>
      </c>
    </row>
    <row r="575" spans="1:17" ht="20.25" customHeight="1">
      <c r="A575" s="106">
        <v>575</v>
      </c>
      <c r="B575" s="169"/>
      <c r="C575" s="314">
        <v>2829</v>
      </c>
      <c r="D575" s="59" t="s">
        <v>119</v>
      </c>
      <c r="E575" s="59">
        <f ca="1">E943</f>
        <v>0</v>
      </c>
      <c r="F575" s="59">
        <v>27698</v>
      </c>
      <c r="G575" s="59">
        <f ca="1">G943</f>
        <v>0</v>
      </c>
      <c r="H575" s="59">
        <v>11219</v>
      </c>
      <c r="I575" s="59">
        <f t="shared" ref="I575:M575" ca="1" si="71">I943</f>
        <v>0</v>
      </c>
      <c r="J575" s="59">
        <f t="shared" ca="1" si="71"/>
        <v>0</v>
      </c>
      <c r="K575" s="59"/>
      <c r="L575" s="59">
        <v>36553</v>
      </c>
      <c r="M575" s="59">
        <f t="shared" ca="1" si="71"/>
        <v>0</v>
      </c>
      <c r="N575" s="156"/>
      <c r="O575" s="57"/>
      <c r="P575" s="59">
        <f ca="1">N943</f>
        <v>0</v>
      </c>
      <c r="Q575" s="59">
        <f t="shared" ca="1" si="53"/>
        <v>75470</v>
      </c>
    </row>
    <row r="576" spans="1:17" ht="20.25" customHeight="1">
      <c r="A576" s="106">
        <v>576</v>
      </c>
      <c r="B576" s="169"/>
      <c r="C576" s="314">
        <v>2830</v>
      </c>
      <c r="D576" s="59" t="s">
        <v>120</v>
      </c>
      <c r="E576" s="59">
        <f ca="1">E948</f>
        <v>0</v>
      </c>
      <c r="F576" s="59">
        <f ca="1">F948</f>
        <v>0</v>
      </c>
      <c r="G576" s="59">
        <f ca="1">G948</f>
        <v>0</v>
      </c>
      <c r="H576" s="59">
        <v>7</v>
      </c>
      <c r="I576" s="59">
        <f t="shared" ref="I576:M576" ca="1" si="72">I948</f>
        <v>0</v>
      </c>
      <c r="J576" s="59">
        <f t="shared" ca="1" si="72"/>
        <v>0</v>
      </c>
      <c r="K576" s="59"/>
      <c r="L576" s="59">
        <v>50000</v>
      </c>
      <c r="M576" s="59">
        <f t="shared" ca="1" si="72"/>
        <v>0</v>
      </c>
      <c r="N576" s="156"/>
      <c r="O576" s="57"/>
      <c r="P576" s="59">
        <f ca="1">N948</f>
        <v>0</v>
      </c>
      <c r="Q576" s="59">
        <f t="shared" ca="1" si="53"/>
        <v>50007</v>
      </c>
    </row>
    <row r="577" spans="1:17" ht="20.25" customHeight="1">
      <c r="A577" s="106">
        <v>577</v>
      </c>
      <c r="B577" s="169"/>
      <c r="C577" s="314">
        <v>2831</v>
      </c>
      <c r="D577" s="59" t="s">
        <v>121</v>
      </c>
      <c r="E577" s="59">
        <f ca="1">E950</f>
        <v>0</v>
      </c>
      <c r="F577" s="59">
        <f ca="1">F950</f>
        <v>0</v>
      </c>
      <c r="G577" s="59">
        <f ca="1">G950</f>
        <v>0</v>
      </c>
      <c r="H577" s="59">
        <v>6322</v>
      </c>
      <c r="I577" s="59">
        <f t="shared" ref="I577:M577" ca="1" si="73">I950</f>
        <v>0</v>
      </c>
      <c r="J577" s="59">
        <f t="shared" ca="1" si="73"/>
        <v>0</v>
      </c>
      <c r="K577" s="59">
        <f t="shared" ca="1" si="73"/>
        <v>0</v>
      </c>
      <c r="L577" s="59">
        <f t="shared" ca="1" si="73"/>
        <v>0</v>
      </c>
      <c r="M577" s="59">
        <f t="shared" ca="1" si="73"/>
        <v>0</v>
      </c>
      <c r="N577" s="156"/>
      <c r="O577" s="57"/>
      <c r="P577" s="59">
        <f ca="1">N950</f>
        <v>0</v>
      </c>
      <c r="Q577" s="59">
        <f t="shared" ca="1" si="53"/>
        <v>6322</v>
      </c>
    </row>
    <row r="578" spans="1:17" ht="20.25" customHeight="1">
      <c r="A578" s="106">
        <v>578</v>
      </c>
      <c r="B578" s="169"/>
      <c r="C578" s="314">
        <v>2832</v>
      </c>
      <c r="D578" s="59" t="s">
        <v>122</v>
      </c>
      <c r="E578" s="59">
        <f ca="1">E956</f>
        <v>0</v>
      </c>
      <c r="F578" s="59">
        <v>18643</v>
      </c>
      <c r="G578" s="59">
        <f ca="1">G956</f>
        <v>0</v>
      </c>
      <c r="H578" s="59">
        <f t="shared" ref="H578:M578" ca="1" si="74">H956</f>
        <v>0</v>
      </c>
      <c r="I578" s="59">
        <f t="shared" ca="1" si="74"/>
        <v>0</v>
      </c>
      <c r="J578" s="59">
        <f t="shared" ca="1" si="74"/>
        <v>0</v>
      </c>
      <c r="K578" s="59">
        <f t="shared" ca="1" si="74"/>
        <v>0</v>
      </c>
      <c r="L578" s="59">
        <f t="shared" ca="1" si="74"/>
        <v>0</v>
      </c>
      <c r="M578" s="59">
        <f t="shared" ca="1" si="74"/>
        <v>0</v>
      </c>
      <c r="N578" s="156"/>
      <c r="O578" s="57"/>
      <c r="P578" s="59">
        <f ca="1">N956</f>
        <v>0</v>
      </c>
      <c r="Q578" s="59">
        <f t="shared" ca="1" si="53"/>
        <v>18643</v>
      </c>
    </row>
    <row r="579" spans="1:17" ht="20.25" customHeight="1">
      <c r="A579" s="106">
        <v>579</v>
      </c>
      <c r="B579" s="169"/>
      <c r="C579" s="314">
        <v>2833</v>
      </c>
      <c r="D579" s="59" t="s">
        <v>123</v>
      </c>
      <c r="E579" s="59">
        <f ca="1">E961</f>
        <v>0</v>
      </c>
      <c r="F579" s="59">
        <f ca="1">F961</f>
        <v>0</v>
      </c>
      <c r="G579" s="59">
        <f ca="1">G961</f>
        <v>0</v>
      </c>
      <c r="H579" s="59">
        <f t="shared" ref="H579:M579" ca="1" si="75">H961</f>
        <v>0</v>
      </c>
      <c r="I579" s="59">
        <f t="shared" ca="1" si="75"/>
        <v>0</v>
      </c>
      <c r="J579" s="59">
        <f t="shared" ca="1" si="75"/>
        <v>0</v>
      </c>
      <c r="K579" s="59">
        <f t="shared" ca="1" si="75"/>
        <v>0</v>
      </c>
      <c r="L579" s="59">
        <f t="shared" ca="1" si="75"/>
        <v>0</v>
      </c>
      <c r="M579" s="59">
        <f t="shared" ca="1" si="75"/>
        <v>0</v>
      </c>
      <c r="N579" s="156"/>
      <c r="O579" s="57"/>
      <c r="P579" s="59">
        <f ca="1">N961</f>
        <v>0</v>
      </c>
      <c r="Q579" s="59">
        <f t="shared" ca="1" si="53"/>
        <v>0</v>
      </c>
    </row>
    <row r="580" spans="1:17" ht="20.25" customHeight="1">
      <c r="A580" s="106">
        <v>580</v>
      </c>
      <c r="B580" s="169"/>
      <c r="C580" s="314">
        <v>2834</v>
      </c>
      <c r="D580" s="59" t="s">
        <v>124</v>
      </c>
      <c r="E580" s="59">
        <f ca="1">E966</f>
        <v>0</v>
      </c>
      <c r="F580" s="59">
        <f ca="1">F966</f>
        <v>0</v>
      </c>
      <c r="G580" s="59">
        <f ca="1">G966</f>
        <v>0</v>
      </c>
      <c r="H580" s="59">
        <f t="shared" ref="H580:M580" ca="1" si="76">H966</f>
        <v>0</v>
      </c>
      <c r="I580" s="59">
        <f t="shared" ca="1" si="76"/>
        <v>0</v>
      </c>
      <c r="J580" s="59">
        <f t="shared" ca="1" si="76"/>
        <v>0</v>
      </c>
      <c r="K580" s="59"/>
      <c r="L580" s="59">
        <v>50000</v>
      </c>
      <c r="M580" s="59">
        <f t="shared" ca="1" si="76"/>
        <v>0</v>
      </c>
      <c r="N580" s="156"/>
      <c r="O580" s="57"/>
      <c r="P580" s="59">
        <f ca="1">N966</f>
        <v>0</v>
      </c>
      <c r="Q580" s="59">
        <f t="shared" ca="1" si="53"/>
        <v>50000</v>
      </c>
    </row>
    <row r="581" spans="1:17" ht="20.25" customHeight="1">
      <c r="A581" s="106">
        <v>581</v>
      </c>
      <c r="B581" s="169"/>
      <c r="C581" s="314">
        <v>2835</v>
      </c>
      <c r="D581" s="59" t="s">
        <v>125</v>
      </c>
      <c r="E581" s="59">
        <f ca="1">E971</f>
        <v>0</v>
      </c>
      <c r="F581" s="59">
        <f ca="1">F971</f>
        <v>0</v>
      </c>
      <c r="G581" s="59">
        <f ca="1">G971</f>
        <v>0</v>
      </c>
      <c r="H581" s="59">
        <f t="shared" ref="H581:M581" ca="1" si="77">H971</f>
        <v>0</v>
      </c>
      <c r="I581" s="59">
        <f t="shared" ca="1" si="77"/>
        <v>0</v>
      </c>
      <c r="J581" s="59">
        <f t="shared" ca="1" si="77"/>
        <v>0</v>
      </c>
      <c r="K581" s="59">
        <f t="shared" ca="1" si="77"/>
        <v>0</v>
      </c>
      <c r="L581" s="59">
        <f t="shared" ca="1" si="77"/>
        <v>0</v>
      </c>
      <c r="M581" s="59">
        <f t="shared" ca="1" si="77"/>
        <v>0</v>
      </c>
      <c r="N581" s="156"/>
      <c r="O581" s="57"/>
      <c r="P581" s="59">
        <f ca="1">N971</f>
        <v>0</v>
      </c>
      <c r="Q581" s="59">
        <f t="shared" ca="1" si="53"/>
        <v>0</v>
      </c>
    </row>
    <row r="582" spans="1:17" ht="20.25" customHeight="1">
      <c r="A582" s="106">
        <v>582</v>
      </c>
      <c r="B582" s="169"/>
      <c r="C582" s="314">
        <v>2836</v>
      </c>
      <c r="D582" s="59" t="s">
        <v>244</v>
      </c>
      <c r="E582" s="59">
        <f ca="1">E979</f>
        <v>0</v>
      </c>
      <c r="F582" s="59">
        <f ca="1">F979</f>
        <v>0</v>
      </c>
      <c r="G582" s="59">
        <f ca="1">G979</f>
        <v>0</v>
      </c>
      <c r="H582" s="59">
        <v>428805</v>
      </c>
      <c r="I582" s="59">
        <f t="shared" ref="I582:M582" ca="1" si="78">I979</f>
        <v>0</v>
      </c>
      <c r="J582" s="59">
        <f t="shared" ca="1" si="78"/>
        <v>0</v>
      </c>
      <c r="K582" s="59">
        <f t="shared" ca="1" si="78"/>
        <v>0</v>
      </c>
      <c r="L582" s="59">
        <f t="shared" ca="1" si="78"/>
        <v>0</v>
      </c>
      <c r="M582" s="59">
        <f t="shared" ca="1" si="78"/>
        <v>0</v>
      </c>
      <c r="N582" s="156"/>
      <c r="O582" s="57"/>
      <c r="P582" s="59">
        <f ca="1">N979</f>
        <v>0</v>
      </c>
      <c r="Q582" s="59">
        <f t="shared" ca="1" si="53"/>
        <v>428805</v>
      </c>
    </row>
    <row r="583" spans="1:17" ht="20.25" customHeight="1">
      <c r="A583" s="106">
        <v>583</v>
      </c>
      <c r="B583" s="169"/>
      <c r="C583" s="314">
        <v>2900</v>
      </c>
      <c r="D583" s="59" t="s">
        <v>127</v>
      </c>
      <c r="E583" s="59">
        <f ca="1">E987</f>
        <v>0</v>
      </c>
      <c r="F583" s="59">
        <f ca="1">F987</f>
        <v>0</v>
      </c>
      <c r="G583" s="59">
        <f ca="1">G987</f>
        <v>0</v>
      </c>
      <c r="H583" s="59">
        <f t="shared" ref="H583:M583" ca="1" si="79">H987</f>
        <v>0</v>
      </c>
      <c r="I583" s="59">
        <f t="shared" ca="1" si="79"/>
        <v>0</v>
      </c>
      <c r="J583" s="59">
        <f t="shared" ca="1" si="79"/>
        <v>0</v>
      </c>
      <c r="K583" s="59">
        <f t="shared" ca="1" si="79"/>
        <v>0</v>
      </c>
      <c r="L583" s="59">
        <f t="shared" ca="1" si="79"/>
        <v>0</v>
      </c>
      <c r="M583" s="59">
        <f t="shared" ca="1" si="79"/>
        <v>0</v>
      </c>
      <c r="N583" s="156"/>
      <c r="O583" s="57"/>
      <c r="P583" s="59">
        <f ca="1">N987</f>
        <v>0</v>
      </c>
      <c r="Q583" s="59">
        <f t="shared" ca="1" si="53"/>
        <v>0</v>
      </c>
    </row>
    <row r="584" spans="1:17" ht="20.25" customHeight="1">
      <c r="A584" s="106">
        <v>584</v>
      </c>
      <c r="B584" s="169"/>
      <c r="C584" s="314">
        <v>2901</v>
      </c>
      <c r="D584" s="59" t="s">
        <v>128</v>
      </c>
      <c r="E584" s="59">
        <f ca="1">E995</f>
        <v>0</v>
      </c>
      <c r="F584" s="59">
        <f ca="1">F995</f>
        <v>0</v>
      </c>
      <c r="G584" s="59">
        <f ca="1">G995</f>
        <v>0</v>
      </c>
      <c r="H584" s="59">
        <v>200000</v>
      </c>
      <c r="I584" s="59">
        <f t="shared" ref="I584:M584" ca="1" si="80">I995</f>
        <v>0</v>
      </c>
      <c r="J584" s="59">
        <f t="shared" ca="1" si="80"/>
        <v>0</v>
      </c>
      <c r="K584" s="59">
        <f t="shared" ca="1" si="80"/>
        <v>0</v>
      </c>
      <c r="L584" s="59">
        <f t="shared" ca="1" si="80"/>
        <v>0</v>
      </c>
      <c r="M584" s="59">
        <f t="shared" ca="1" si="80"/>
        <v>0</v>
      </c>
      <c r="N584" s="156"/>
      <c r="O584" s="57"/>
      <c r="P584" s="59">
        <f ca="1">N995</f>
        <v>0</v>
      </c>
      <c r="Q584" s="59">
        <f t="shared" ca="1" si="53"/>
        <v>200000</v>
      </c>
    </row>
    <row r="585" spans="1:17" ht="20.25" customHeight="1">
      <c r="A585" s="106">
        <v>585</v>
      </c>
      <c r="B585" s="169"/>
      <c r="C585" s="314">
        <v>2902</v>
      </c>
      <c r="D585" s="60" t="s">
        <v>245</v>
      </c>
      <c r="E585" s="60">
        <f t="shared" ref="E585:M585" ca="1" si="81">SUM(E557:E584)</f>
        <v>371286</v>
      </c>
      <c r="F585" s="60">
        <f t="shared" ca="1" si="81"/>
        <v>557454</v>
      </c>
      <c r="G585" s="60">
        <f t="shared" ca="1" si="81"/>
        <v>0</v>
      </c>
      <c r="H585" s="60">
        <f t="shared" ca="1" si="81"/>
        <v>1878905</v>
      </c>
      <c r="I585" s="60">
        <f t="shared" ca="1" si="81"/>
        <v>0</v>
      </c>
      <c r="J585" s="60">
        <f t="shared" ca="1" si="81"/>
        <v>0</v>
      </c>
      <c r="K585" s="60"/>
      <c r="L585" s="60">
        <f t="shared" ca="1" si="81"/>
        <v>136553</v>
      </c>
      <c r="M585" s="60">
        <f t="shared" ca="1" si="81"/>
        <v>94911</v>
      </c>
      <c r="N585" s="157"/>
      <c r="O585" s="75"/>
      <c r="P585" s="60">
        <f ca="1">SUM(P557:P584)</f>
        <v>0</v>
      </c>
      <c r="Q585" s="60">
        <f t="shared" ca="1" si="53"/>
        <v>3039109</v>
      </c>
    </row>
    <row r="586" spans="1:17" ht="20.25" customHeight="1">
      <c r="A586" s="106"/>
      <c r="B586" s="4"/>
      <c r="C586" s="338"/>
      <c r="D586" s="77"/>
      <c r="E586" s="77"/>
      <c r="F586" s="77"/>
      <c r="G586" s="77"/>
      <c r="H586" s="77"/>
      <c r="I586" s="77"/>
      <c r="J586" s="77"/>
      <c r="K586" s="77"/>
      <c r="L586" s="77"/>
      <c r="M586" s="77"/>
      <c r="N586" s="77"/>
      <c r="O586" s="77"/>
      <c r="P586" s="77"/>
      <c r="Q586" s="77"/>
    </row>
    <row r="587" spans="1:17" ht="20.25" customHeight="1">
      <c r="A587" s="106">
        <v>587</v>
      </c>
      <c r="B587" s="169"/>
      <c r="C587" s="314">
        <v>2910</v>
      </c>
      <c r="D587" s="59" t="s">
        <v>129</v>
      </c>
      <c r="E587" s="59">
        <f>schedule20!E25</f>
        <v>0</v>
      </c>
      <c r="F587" s="59">
        <f>schedule20!F25</f>
        <v>0</v>
      </c>
      <c r="G587" s="59">
        <f>SUM(schedule20!G25:M25)</f>
        <v>0</v>
      </c>
      <c r="H587" s="59">
        <f>schedule20!N25</f>
        <v>0</v>
      </c>
      <c r="I587" s="59">
        <f>SUM(schedule20!P25:Q25)</f>
        <v>0</v>
      </c>
      <c r="J587" s="59">
        <f>schedule20!R25</f>
        <v>0</v>
      </c>
      <c r="K587" s="57"/>
      <c r="L587" s="8"/>
      <c r="M587" s="8"/>
      <c r="N587" s="8"/>
      <c r="O587" s="8"/>
      <c r="P587" s="8"/>
      <c r="Q587" s="59">
        <f t="shared" ref="Q587:Q632" si="82">SUM(E587:P587)</f>
        <v>0</v>
      </c>
    </row>
    <row r="588" spans="1:17" ht="20.25" customHeight="1">
      <c r="A588" s="106">
        <v>588</v>
      </c>
      <c r="B588" s="169"/>
      <c r="C588" s="314">
        <v>2920</v>
      </c>
      <c r="D588" s="59" t="s">
        <v>130</v>
      </c>
      <c r="E588" s="59">
        <f>schedule20!E26</f>
        <v>0</v>
      </c>
      <c r="F588" s="59">
        <f>schedule20!F26</f>
        <v>0</v>
      </c>
      <c r="G588" s="59">
        <f>SUM(schedule20!G26:M26)</f>
        <v>0</v>
      </c>
      <c r="H588" s="59">
        <f>schedule20!N26</f>
        <v>0</v>
      </c>
      <c r="I588" s="59">
        <f>SUM(schedule20!P26:Q26)</f>
        <v>32851</v>
      </c>
      <c r="J588" s="59">
        <f>schedule20!R26</f>
        <v>0</v>
      </c>
      <c r="K588" s="57"/>
      <c r="L588" s="8"/>
      <c r="M588" s="8"/>
      <c r="N588" s="8"/>
      <c r="O588" s="8"/>
      <c r="P588" s="8"/>
      <c r="Q588" s="59">
        <f t="shared" si="82"/>
        <v>32851</v>
      </c>
    </row>
    <row r="589" spans="1:17" ht="20.25" customHeight="1">
      <c r="A589" s="106">
        <v>589</v>
      </c>
      <c r="B589" s="169"/>
      <c r="C589" s="314">
        <v>2930</v>
      </c>
      <c r="D589" s="59" t="s">
        <v>131</v>
      </c>
      <c r="E589" s="59">
        <f>schedule20!E27</f>
        <v>0</v>
      </c>
      <c r="F589" s="59">
        <f>schedule20!F27</f>
        <v>0</v>
      </c>
      <c r="G589" s="59">
        <f>SUM(schedule20!G27:M27)</f>
        <v>0</v>
      </c>
      <c r="H589" s="59">
        <f>schedule20!N27</f>
        <v>0</v>
      </c>
      <c r="I589" s="59">
        <f>SUM(schedule20!P27:Q27)</f>
        <v>0</v>
      </c>
      <c r="J589" s="59">
        <f>schedule20!R27</f>
        <v>0</v>
      </c>
      <c r="K589" s="8"/>
      <c r="L589" s="8"/>
      <c r="M589" s="8"/>
      <c r="N589" s="8"/>
      <c r="O589" s="8"/>
      <c r="P589" s="8"/>
      <c r="Q589" s="59">
        <f t="shared" si="82"/>
        <v>0</v>
      </c>
    </row>
    <row r="590" spans="1:17" ht="20.25" customHeight="1">
      <c r="A590" s="106">
        <v>590</v>
      </c>
      <c r="B590" s="169"/>
      <c r="C590" s="314">
        <v>2940</v>
      </c>
      <c r="D590" s="59" t="s">
        <v>132</v>
      </c>
      <c r="E590" s="59">
        <f>schedule20!E28</f>
        <v>0</v>
      </c>
      <c r="F590" s="59">
        <f>schedule20!F28</f>
        <v>0</v>
      </c>
      <c r="G590" s="59">
        <f>SUM(schedule20!G28:M28)</f>
        <v>0</v>
      </c>
      <c r="H590" s="59">
        <f>schedule20!N28</f>
        <v>0</v>
      </c>
      <c r="I590" s="59">
        <f>SUM(schedule20!P28:Q28)</f>
        <v>0</v>
      </c>
      <c r="J590" s="59">
        <f>schedule20!R28</f>
        <v>0</v>
      </c>
      <c r="K590" s="57"/>
      <c r="L590" s="8"/>
      <c r="M590" s="8"/>
      <c r="N590" s="8"/>
      <c r="O590" s="8"/>
      <c r="P590" s="8"/>
      <c r="Q590" s="59">
        <f t="shared" si="82"/>
        <v>0</v>
      </c>
    </row>
    <row r="591" spans="1:17" ht="20.25" customHeight="1">
      <c r="A591" s="106">
        <v>591</v>
      </c>
      <c r="B591" s="169"/>
      <c r="C591" s="314">
        <v>2950</v>
      </c>
      <c r="D591" s="59" t="s">
        <v>134</v>
      </c>
      <c r="E591" s="59">
        <f>schedule20!E29</f>
        <v>0</v>
      </c>
      <c r="F591" s="59">
        <f>schedule20!F29</f>
        <v>0</v>
      </c>
      <c r="G591" s="59">
        <f>SUM(schedule20!G29:M29)</f>
        <v>0</v>
      </c>
      <c r="H591" s="59">
        <f>schedule20!N29</f>
        <v>0</v>
      </c>
      <c r="I591" s="59">
        <f>SUM(schedule20!P29:Q29)</f>
        <v>0</v>
      </c>
      <c r="J591" s="59">
        <f>schedule20!R29</f>
        <v>0</v>
      </c>
      <c r="K591" s="57"/>
      <c r="L591" s="8"/>
      <c r="M591" s="8"/>
      <c r="N591" s="8"/>
      <c r="O591" s="8"/>
      <c r="P591" s="8"/>
      <c r="Q591" s="59">
        <f t="shared" si="82"/>
        <v>0</v>
      </c>
    </row>
    <row r="592" spans="1:17" ht="20.25" customHeight="1">
      <c r="A592" s="106">
        <v>592</v>
      </c>
      <c r="B592" s="169"/>
      <c r="C592" s="314">
        <v>2960</v>
      </c>
      <c r="D592" s="59" t="s">
        <v>246</v>
      </c>
      <c r="E592" s="59">
        <f>schedule20!E30</f>
        <v>0</v>
      </c>
      <c r="F592" s="59">
        <f>schedule20!F30</f>
        <v>0</v>
      </c>
      <c r="G592" s="59">
        <f>SUM(schedule20!G30:M30)</f>
        <v>0</v>
      </c>
      <c r="H592" s="59">
        <f>schedule20!N30</f>
        <v>0</v>
      </c>
      <c r="I592" s="59">
        <f>SUM(schedule20!P30:Q30)</f>
        <v>0</v>
      </c>
      <c r="J592" s="59">
        <f>schedule20!R30</f>
        <v>0</v>
      </c>
      <c r="K592" s="57"/>
      <c r="L592" s="8"/>
      <c r="M592" s="8"/>
      <c r="N592" s="8"/>
      <c r="O592" s="8"/>
      <c r="P592" s="8"/>
      <c r="Q592" s="59">
        <f t="shared" si="82"/>
        <v>0</v>
      </c>
    </row>
    <row r="593" spans="1:17" ht="20.25" customHeight="1">
      <c r="A593" s="106">
        <v>593</v>
      </c>
      <c r="B593" s="169"/>
      <c r="C593" s="314">
        <v>2965</v>
      </c>
      <c r="D593" s="59" t="s">
        <v>247</v>
      </c>
      <c r="E593" s="59">
        <f>schedule20!E31</f>
        <v>0</v>
      </c>
      <c r="F593" s="59">
        <f>schedule20!F31</f>
        <v>0</v>
      </c>
      <c r="G593" s="59">
        <f>SUM(schedule20!G31:M31)</f>
        <v>0</v>
      </c>
      <c r="H593" s="59">
        <f>schedule20!N31</f>
        <v>0</v>
      </c>
      <c r="I593" s="59">
        <f>SUM(schedule20!P31:Q31)</f>
        <v>0</v>
      </c>
      <c r="J593" s="59">
        <f>schedule20!R31</f>
        <v>0</v>
      </c>
      <c r="K593" s="57"/>
      <c r="L593" s="8"/>
      <c r="M593" s="8"/>
      <c r="N593" s="8"/>
      <c r="O593" s="8"/>
      <c r="P593" s="8"/>
      <c r="Q593" s="59">
        <f t="shared" si="82"/>
        <v>0</v>
      </c>
    </row>
    <row r="594" spans="1:17" ht="20.25" customHeight="1">
      <c r="A594" s="106">
        <v>594</v>
      </c>
      <c r="B594" s="169"/>
      <c r="C594" s="314">
        <v>2971</v>
      </c>
      <c r="D594" s="59" t="s">
        <v>137</v>
      </c>
      <c r="E594" s="59">
        <f>schedule20!E32</f>
        <v>0</v>
      </c>
      <c r="F594" s="59">
        <f>schedule20!F32</f>
        <v>0</v>
      </c>
      <c r="G594" s="59">
        <f>SUM(schedule20!G32:M32)</f>
        <v>0</v>
      </c>
      <c r="H594" s="59">
        <f>schedule20!N32</f>
        <v>0</v>
      </c>
      <c r="I594" s="59">
        <f>SUM(schedule20!P32:Q32)</f>
        <v>0</v>
      </c>
      <c r="J594" s="59">
        <f>schedule20!R32</f>
        <v>0</v>
      </c>
      <c r="K594" s="57"/>
      <c r="L594" s="8"/>
      <c r="M594" s="8"/>
      <c r="N594" s="8"/>
      <c r="O594" s="8"/>
      <c r="P594" s="8"/>
      <c r="Q594" s="59">
        <f t="shared" si="82"/>
        <v>0</v>
      </c>
    </row>
    <row r="595" spans="1:17" ht="20.25" customHeight="1">
      <c r="A595" s="106">
        <v>595</v>
      </c>
      <c r="B595" s="169"/>
      <c r="C595" s="314">
        <v>2972</v>
      </c>
      <c r="D595" s="59" t="s">
        <v>138</v>
      </c>
      <c r="E595" s="59">
        <f>schedule20!E33</f>
        <v>0</v>
      </c>
      <c r="F595" s="59">
        <f>schedule20!F33</f>
        <v>0</v>
      </c>
      <c r="G595" s="59">
        <f>SUM(schedule20!G33:M33)</f>
        <v>0</v>
      </c>
      <c r="H595" s="59">
        <f>schedule20!N33</f>
        <v>0</v>
      </c>
      <c r="I595" s="59">
        <f>SUM(schedule20!P33:Q33)</f>
        <v>0</v>
      </c>
      <c r="J595" s="59">
        <f>schedule20!R33</f>
        <v>0</v>
      </c>
      <c r="K595" s="57"/>
      <c r="L595" s="8"/>
      <c r="M595" s="8"/>
      <c r="N595" s="8"/>
      <c r="O595" s="8"/>
      <c r="P595" s="8"/>
      <c r="Q595" s="59">
        <f t="shared" si="82"/>
        <v>0</v>
      </c>
    </row>
    <row r="596" spans="1:17" ht="20.25" customHeight="1">
      <c r="A596" s="106">
        <v>596</v>
      </c>
      <c r="B596" s="169"/>
      <c r="C596" s="314">
        <v>2973</v>
      </c>
      <c r="D596" s="59" t="s">
        <v>139</v>
      </c>
      <c r="E596" s="59">
        <f>schedule20!E34</f>
        <v>0</v>
      </c>
      <c r="F596" s="59">
        <f>schedule20!F34</f>
        <v>0</v>
      </c>
      <c r="G596" s="59">
        <f>SUM(schedule20!G34:M34)</f>
        <v>0</v>
      </c>
      <c r="H596" s="59">
        <f>schedule20!N34</f>
        <v>0</v>
      </c>
      <c r="I596" s="59">
        <f>SUM(schedule20!P34:Q34)</f>
        <v>0</v>
      </c>
      <c r="J596" s="59">
        <f>schedule20!R34</f>
        <v>0</v>
      </c>
      <c r="K596" s="57"/>
      <c r="L596" s="8"/>
      <c r="M596" s="8"/>
      <c r="N596" s="8"/>
      <c r="O596" s="8"/>
      <c r="P596" s="8"/>
      <c r="Q596" s="59">
        <f t="shared" si="82"/>
        <v>0</v>
      </c>
    </row>
    <row r="597" spans="1:17" ht="20.25" customHeight="1">
      <c r="A597" s="106">
        <v>597</v>
      </c>
      <c r="B597" s="169"/>
      <c r="C597" s="314">
        <v>2974</v>
      </c>
      <c r="D597" s="59" t="s">
        <v>140</v>
      </c>
      <c r="E597" s="59">
        <f>schedule20!E35</f>
        <v>0</v>
      </c>
      <c r="F597" s="59">
        <f>schedule20!F35</f>
        <v>0</v>
      </c>
      <c r="G597" s="59">
        <f>SUM(schedule20!G35:M35)</f>
        <v>0</v>
      </c>
      <c r="H597" s="59">
        <f>schedule20!N35</f>
        <v>0</v>
      </c>
      <c r="I597" s="59">
        <f>SUM(schedule20!P35:Q35)</f>
        <v>0</v>
      </c>
      <c r="J597" s="59">
        <f>schedule20!R35</f>
        <v>0</v>
      </c>
      <c r="K597" s="57"/>
      <c r="L597" s="8"/>
      <c r="M597" s="8"/>
      <c r="N597" s="8"/>
      <c r="O597" s="8"/>
      <c r="P597" s="8"/>
      <c r="Q597" s="59">
        <f t="shared" si="82"/>
        <v>0</v>
      </c>
    </row>
    <row r="598" spans="1:17" ht="20.25" customHeight="1">
      <c r="A598" s="106">
        <v>598</v>
      </c>
      <c r="B598" s="169"/>
      <c r="C598" s="314">
        <v>2975</v>
      </c>
      <c r="D598" s="59" t="s">
        <v>141</v>
      </c>
      <c r="E598" s="59">
        <f>schedule20!E36</f>
        <v>0</v>
      </c>
      <c r="F598" s="59">
        <f>schedule20!F36</f>
        <v>0</v>
      </c>
      <c r="G598" s="59">
        <f>SUM(schedule20!G36:M36)</f>
        <v>0</v>
      </c>
      <c r="H598" s="59">
        <f>schedule20!N36</f>
        <v>0</v>
      </c>
      <c r="I598" s="59">
        <f>SUM(schedule20!P36:Q36)</f>
        <v>0</v>
      </c>
      <c r="J598" s="59">
        <f>schedule20!R36</f>
        <v>0</v>
      </c>
      <c r="K598" s="57"/>
      <c r="L598" s="8"/>
      <c r="M598" s="8"/>
      <c r="N598" s="8"/>
      <c r="O598" s="8"/>
      <c r="P598" s="8"/>
      <c r="Q598" s="59">
        <f t="shared" si="82"/>
        <v>0</v>
      </c>
    </row>
    <row r="599" spans="1:17" ht="20.25" customHeight="1">
      <c r="A599" s="106">
        <v>599</v>
      </c>
      <c r="B599" s="169"/>
      <c r="C599" s="314">
        <v>2976</v>
      </c>
      <c r="D599" s="59" t="s">
        <v>142</v>
      </c>
      <c r="E599" s="59">
        <f>schedule20!E37</f>
        <v>0</v>
      </c>
      <c r="F599" s="59">
        <f>schedule20!F37</f>
        <v>0</v>
      </c>
      <c r="G599" s="59">
        <f>SUM(schedule20!G37:M37)</f>
        <v>0</v>
      </c>
      <c r="H599" s="59">
        <f>schedule20!N37</f>
        <v>0</v>
      </c>
      <c r="I599" s="59">
        <f>SUM(schedule20!P37:Q37)</f>
        <v>0</v>
      </c>
      <c r="J599" s="59">
        <f>schedule20!R37</f>
        <v>0</v>
      </c>
      <c r="K599" s="57"/>
      <c r="L599" s="8"/>
      <c r="M599" s="8"/>
      <c r="N599" s="8"/>
      <c r="O599" s="8"/>
      <c r="P599" s="8"/>
      <c r="Q599" s="59">
        <f t="shared" si="82"/>
        <v>0</v>
      </c>
    </row>
    <row r="600" spans="1:17" ht="20.25" customHeight="1">
      <c r="A600" s="106">
        <v>600</v>
      </c>
      <c r="B600" s="169"/>
      <c r="C600" s="314">
        <v>2977</v>
      </c>
      <c r="D600" s="59" t="s">
        <v>143</v>
      </c>
      <c r="E600" s="59">
        <f>schedule20!E38</f>
        <v>0</v>
      </c>
      <c r="F600" s="59">
        <f>schedule20!F38</f>
        <v>0</v>
      </c>
      <c r="G600" s="59">
        <f>SUM(schedule20!G38:M38)</f>
        <v>0</v>
      </c>
      <c r="H600" s="59">
        <f>schedule20!N38</f>
        <v>0</v>
      </c>
      <c r="I600" s="59">
        <f>SUM(schedule20!P38:Q38)</f>
        <v>0</v>
      </c>
      <c r="J600" s="59">
        <f>schedule20!R38</f>
        <v>0</v>
      </c>
      <c r="K600" s="57"/>
      <c r="L600" s="8"/>
      <c r="M600" s="8"/>
      <c r="N600" s="8"/>
      <c r="O600" s="8"/>
      <c r="P600" s="8"/>
      <c r="Q600" s="59">
        <f t="shared" si="82"/>
        <v>0</v>
      </c>
    </row>
    <row r="601" spans="1:17" ht="20.25" customHeight="1">
      <c r="A601" s="106">
        <v>601</v>
      </c>
      <c r="B601" s="169"/>
      <c r="C601" s="314">
        <v>2980</v>
      </c>
      <c r="D601" s="59" t="s">
        <v>248</v>
      </c>
      <c r="E601" s="59">
        <f>schedule20!E39</f>
        <v>0</v>
      </c>
      <c r="F601" s="59">
        <f>schedule20!F39</f>
        <v>0</v>
      </c>
      <c r="G601" s="59">
        <f>SUM(schedule20!G39:M39)</f>
        <v>0</v>
      </c>
      <c r="H601" s="59">
        <f>schedule20!N39</f>
        <v>0</v>
      </c>
      <c r="I601" s="59">
        <f>SUM(schedule20!P39:Q39)</f>
        <v>0</v>
      </c>
      <c r="J601" s="59">
        <f>schedule20!R39</f>
        <v>0</v>
      </c>
      <c r="K601" s="57"/>
      <c r="L601" s="8"/>
      <c r="M601" s="8"/>
      <c r="N601" s="8"/>
      <c r="O601" s="8"/>
      <c r="P601" s="8"/>
      <c r="Q601" s="59">
        <f t="shared" si="82"/>
        <v>0</v>
      </c>
    </row>
    <row r="602" spans="1:17" ht="20.25" customHeight="1">
      <c r="A602" s="106">
        <v>602</v>
      </c>
      <c r="B602" s="169"/>
      <c r="C602" s="314">
        <v>2982</v>
      </c>
      <c r="D602" s="59" t="s">
        <v>145</v>
      </c>
      <c r="E602" s="59">
        <f>schedule20!E40</f>
        <v>0</v>
      </c>
      <c r="F602" s="59">
        <f>schedule20!F40</f>
        <v>0</v>
      </c>
      <c r="G602" s="59">
        <f>SUM(schedule20!G40:M40)</f>
        <v>0</v>
      </c>
      <c r="H602" s="59">
        <f>schedule20!N40</f>
        <v>0</v>
      </c>
      <c r="I602" s="59">
        <f>SUM(schedule20!P40:Q40)</f>
        <v>0</v>
      </c>
      <c r="J602" s="59">
        <f>schedule20!R40</f>
        <v>0</v>
      </c>
      <c r="K602" s="57"/>
      <c r="L602" s="8"/>
      <c r="M602" s="8"/>
      <c r="N602" s="8"/>
      <c r="O602" s="8"/>
      <c r="P602" s="8"/>
      <c r="Q602" s="59">
        <f t="shared" si="82"/>
        <v>0</v>
      </c>
    </row>
    <row r="603" spans="1:17" ht="20.25" customHeight="1">
      <c r="A603" s="106">
        <v>603</v>
      </c>
      <c r="B603" s="169"/>
      <c r="C603" s="314">
        <v>2984</v>
      </c>
      <c r="D603" s="59" t="s">
        <v>146</v>
      </c>
      <c r="E603" s="59">
        <f>schedule20!E41</f>
        <v>0</v>
      </c>
      <c r="F603" s="59">
        <f>schedule20!F41</f>
        <v>0</v>
      </c>
      <c r="G603" s="59">
        <f>SUM(schedule20!G41:M41)</f>
        <v>0</v>
      </c>
      <c r="H603" s="59">
        <f>schedule20!N41</f>
        <v>0</v>
      </c>
      <c r="I603" s="59">
        <f>SUM(schedule20!P41:Q41)</f>
        <v>0</v>
      </c>
      <c r="J603" s="59">
        <f>schedule20!R41</f>
        <v>0</v>
      </c>
      <c r="K603" s="57"/>
      <c r="L603" s="8"/>
      <c r="M603" s="8"/>
      <c r="N603" s="8"/>
      <c r="O603" s="8"/>
      <c r="P603" s="8"/>
      <c r="Q603" s="59">
        <f t="shared" si="82"/>
        <v>0</v>
      </c>
    </row>
    <row r="604" spans="1:17" ht="20.25" customHeight="1">
      <c r="A604" s="106">
        <v>604</v>
      </c>
      <c r="B604" s="169"/>
      <c r="C604" s="314">
        <v>2991</v>
      </c>
      <c r="D604" s="59" t="s">
        <v>147</v>
      </c>
      <c r="E604" s="59">
        <f>schedule20!E42</f>
        <v>0</v>
      </c>
      <c r="F604" s="59">
        <f>schedule20!F42</f>
        <v>0</v>
      </c>
      <c r="G604" s="59">
        <f>SUM(schedule20!G42:M42)</f>
        <v>0</v>
      </c>
      <c r="H604" s="59">
        <f>schedule20!N42</f>
        <v>0</v>
      </c>
      <c r="I604" s="59">
        <f>SUM(schedule20!P42:Q42)</f>
        <v>0</v>
      </c>
      <c r="J604" s="59">
        <f>schedule20!R42</f>
        <v>0</v>
      </c>
      <c r="K604" s="57"/>
      <c r="L604" s="8"/>
      <c r="M604" s="8"/>
      <c r="N604" s="8"/>
      <c r="O604" s="8"/>
      <c r="P604" s="8"/>
      <c r="Q604" s="59">
        <f t="shared" si="82"/>
        <v>0</v>
      </c>
    </row>
    <row r="605" spans="1:17" ht="20.25" customHeight="1">
      <c r="A605" s="106">
        <v>605</v>
      </c>
      <c r="B605" s="325"/>
      <c r="C605" s="314">
        <v>2992</v>
      </c>
      <c r="D605" s="59" t="s">
        <v>148</v>
      </c>
      <c r="E605" s="59">
        <f>schedule20!E43</f>
        <v>0</v>
      </c>
      <c r="F605" s="59">
        <f>schedule20!F43</f>
        <v>0</v>
      </c>
      <c r="G605" s="59">
        <f>SUM(schedule20!G43:M43)</f>
        <v>0</v>
      </c>
      <c r="H605" s="59">
        <f>schedule20!N43</f>
        <v>0</v>
      </c>
      <c r="I605" s="59">
        <f>SUM(schedule20!P43:Q43)</f>
        <v>0</v>
      </c>
      <c r="J605" s="59">
        <f>schedule20!R43</f>
        <v>0</v>
      </c>
      <c r="K605" s="57"/>
      <c r="L605" s="8"/>
      <c r="M605" s="8"/>
      <c r="N605" s="8"/>
      <c r="O605" s="8"/>
      <c r="P605" s="8"/>
      <c r="Q605" s="59">
        <f t="shared" si="82"/>
        <v>0</v>
      </c>
    </row>
    <row r="606" spans="1:17" ht="20.25" customHeight="1">
      <c r="A606" s="106">
        <v>606</v>
      </c>
      <c r="B606" s="169"/>
      <c r="C606" s="314">
        <v>2993</v>
      </c>
      <c r="D606" s="59" t="s">
        <v>150</v>
      </c>
      <c r="E606" s="59">
        <f>schedule20!E44</f>
        <v>0</v>
      </c>
      <c r="F606" s="59">
        <f>schedule20!F44</f>
        <v>0</v>
      </c>
      <c r="G606" s="59">
        <f>SUM(schedule20!G44:M44)</f>
        <v>0</v>
      </c>
      <c r="H606" s="59">
        <f>schedule20!N44</f>
        <v>0</v>
      </c>
      <c r="I606" s="59">
        <f>SUM(schedule20!P44:Q44)</f>
        <v>0</v>
      </c>
      <c r="J606" s="59">
        <f>schedule20!R44</f>
        <v>0</v>
      </c>
      <c r="K606" s="57"/>
      <c r="L606" s="8"/>
      <c r="M606" s="8"/>
      <c r="N606" s="8"/>
      <c r="O606" s="8"/>
      <c r="P606" s="8"/>
      <c r="Q606" s="59">
        <f t="shared" si="82"/>
        <v>0</v>
      </c>
    </row>
    <row r="607" spans="1:17" ht="20.25" customHeight="1">
      <c r="A607" s="106">
        <v>607</v>
      </c>
      <c r="B607" s="169"/>
      <c r="C607" s="314">
        <v>2994</v>
      </c>
      <c r="D607" s="59" t="s">
        <v>151</v>
      </c>
      <c r="E607" s="59">
        <f>schedule20!E45</f>
        <v>0</v>
      </c>
      <c r="F607" s="59">
        <f>schedule20!F45</f>
        <v>0</v>
      </c>
      <c r="G607" s="59">
        <f>SUM(schedule20!G45:M45)</f>
        <v>0</v>
      </c>
      <c r="H607" s="59">
        <f>schedule20!N45</f>
        <v>0</v>
      </c>
      <c r="I607" s="59">
        <f>SUM(schedule20!P45:Q45)</f>
        <v>0</v>
      </c>
      <c r="J607" s="59">
        <f>schedule20!R45</f>
        <v>0</v>
      </c>
      <c r="K607" s="57"/>
      <c r="L607" s="8"/>
      <c r="M607" s="8"/>
      <c r="N607" s="8"/>
      <c r="O607" s="8"/>
      <c r="P607" s="8"/>
      <c r="Q607" s="59">
        <f t="shared" si="82"/>
        <v>0</v>
      </c>
    </row>
    <row r="608" spans="1:17" ht="20.25" customHeight="1">
      <c r="A608" s="106">
        <v>608</v>
      </c>
      <c r="B608" s="169"/>
      <c r="C608" s="314">
        <v>2995</v>
      </c>
      <c r="D608" s="59" t="s">
        <v>197</v>
      </c>
      <c r="E608" s="59">
        <f>schedule20!E46</f>
        <v>0</v>
      </c>
      <c r="F608" s="59">
        <f>schedule20!F46</f>
        <v>0</v>
      </c>
      <c r="G608" s="59">
        <f>SUM(schedule20!G46:M46)</f>
        <v>0</v>
      </c>
      <c r="H608" s="59">
        <f>schedule20!N46</f>
        <v>0</v>
      </c>
      <c r="I608" s="59">
        <f>SUM(schedule20!P46:Q46)</f>
        <v>5000</v>
      </c>
      <c r="J608" s="59">
        <f>schedule20!R46</f>
        <v>0</v>
      </c>
      <c r="K608" s="57"/>
      <c r="L608" s="8"/>
      <c r="M608" s="8"/>
      <c r="N608" s="8"/>
      <c r="O608" s="8"/>
      <c r="P608" s="8"/>
      <c r="Q608" s="59">
        <f t="shared" si="82"/>
        <v>5000</v>
      </c>
    </row>
    <row r="609" spans="1:17" ht="20.25" customHeight="1">
      <c r="A609" s="106">
        <v>609</v>
      </c>
      <c r="B609" s="169"/>
      <c r="C609" s="314">
        <v>3012</v>
      </c>
      <c r="D609" s="59" t="s">
        <v>249</v>
      </c>
      <c r="E609" s="59">
        <f>schedule20!E47</f>
        <v>0</v>
      </c>
      <c r="F609" s="59">
        <f>schedule20!F47</f>
        <v>0</v>
      </c>
      <c r="G609" s="59">
        <f>SUM(schedule20!G47:M47)</f>
        <v>0</v>
      </c>
      <c r="H609" s="59">
        <f>schedule20!N47</f>
        <v>0</v>
      </c>
      <c r="I609" s="59">
        <f>SUM(schedule20!P47:Q47)</f>
        <v>0</v>
      </c>
      <c r="J609" s="59">
        <f>schedule20!R47</f>
        <v>0</v>
      </c>
      <c r="K609" s="57"/>
      <c r="L609" s="8"/>
      <c r="M609" s="8"/>
      <c r="N609" s="8"/>
      <c r="O609" s="8"/>
      <c r="P609" s="8"/>
      <c r="Q609" s="59">
        <f t="shared" si="82"/>
        <v>0</v>
      </c>
    </row>
    <row r="610" spans="1:17" ht="20.25" customHeight="1">
      <c r="A610" s="106">
        <v>610</v>
      </c>
      <c r="B610" s="169"/>
      <c r="C610" s="314">
        <v>3014</v>
      </c>
      <c r="D610" s="59" t="s">
        <v>250</v>
      </c>
      <c r="E610" s="59">
        <f>schedule20!E48</f>
        <v>0</v>
      </c>
      <c r="F610" s="59">
        <f>schedule20!F48</f>
        <v>0</v>
      </c>
      <c r="G610" s="59">
        <f>SUM(schedule20!G48:M48)</f>
        <v>0</v>
      </c>
      <c r="H610" s="59">
        <f>schedule20!N48</f>
        <v>0</v>
      </c>
      <c r="I610" s="59">
        <f>SUM(schedule20!P48:Q48)</f>
        <v>0</v>
      </c>
      <c r="J610" s="59">
        <f>schedule20!R48</f>
        <v>0</v>
      </c>
      <c r="K610" s="57"/>
      <c r="L610" s="8"/>
      <c r="M610" s="8"/>
      <c r="N610" s="8"/>
      <c r="O610" s="8"/>
      <c r="P610" s="8"/>
      <c r="Q610" s="59">
        <f t="shared" si="82"/>
        <v>0</v>
      </c>
    </row>
    <row r="611" spans="1:17" ht="20.25" customHeight="1">
      <c r="A611" s="106">
        <v>611</v>
      </c>
      <c r="B611" s="169"/>
      <c r="C611" s="314">
        <v>3022</v>
      </c>
      <c r="D611" s="59" t="s">
        <v>251</v>
      </c>
      <c r="E611" s="59">
        <f>schedule20!E49</f>
        <v>0</v>
      </c>
      <c r="F611" s="59">
        <f>schedule20!F49</f>
        <v>0</v>
      </c>
      <c r="G611" s="59">
        <f>SUM(schedule20!G49:M49)</f>
        <v>0</v>
      </c>
      <c r="H611" s="59">
        <f>schedule20!N49</f>
        <v>0</v>
      </c>
      <c r="I611" s="59">
        <f>SUM(schedule20!P49:Q49)</f>
        <v>0</v>
      </c>
      <c r="J611" s="59">
        <f>schedule20!R49</f>
        <v>0</v>
      </c>
      <c r="K611" s="57"/>
      <c r="L611" s="8"/>
      <c r="M611" s="8"/>
      <c r="N611" s="8"/>
      <c r="O611" s="8"/>
      <c r="P611" s="8"/>
      <c r="Q611" s="59">
        <f t="shared" si="82"/>
        <v>0</v>
      </c>
    </row>
    <row r="612" spans="1:17" ht="20.25" customHeight="1">
      <c r="A612" s="106">
        <v>612</v>
      </c>
      <c r="B612" s="169"/>
      <c r="C612" s="314">
        <v>3024</v>
      </c>
      <c r="D612" s="59" t="s">
        <v>252</v>
      </c>
      <c r="E612" s="59">
        <f>schedule20!E50</f>
        <v>0</v>
      </c>
      <c r="F612" s="59">
        <f>schedule20!F50</f>
        <v>0</v>
      </c>
      <c r="G612" s="59">
        <f>SUM(schedule20!G50:M50)</f>
        <v>0</v>
      </c>
      <c r="H612" s="59">
        <f>schedule20!N50</f>
        <v>0</v>
      </c>
      <c r="I612" s="59">
        <f>SUM(schedule20!P50:Q50)</f>
        <v>0</v>
      </c>
      <c r="J612" s="59">
        <f>schedule20!R50</f>
        <v>0</v>
      </c>
      <c r="K612" s="57"/>
      <c r="L612" s="8"/>
      <c r="M612" s="8"/>
      <c r="N612" s="8"/>
      <c r="O612" s="8"/>
      <c r="P612" s="8"/>
      <c r="Q612" s="59">
        <f t="shared" si="82"/>
        <v>0</v>
      </c>
    </row>
    <row r="613" spans="1:17" ht="20.25" customHeight="1">
      <c r="A613" s="106">
        <v>613</v>
      </c>
      <c r="B613" s="169"/>
      <c r="C613" s="314">
        <v>3026</v>
      </c>
      <c r="D613" s="59" t="s">
        <v>158</v>
      </c>
      <c r="E613" s="59">
        <f>schedule20!E51</f>
        <v>0</v>
      </c>
      <c r="F613" s="59">
        <f>schedule20!F51</f>
        <v>0</v>
      </c>
      <c r="G613" s="59">
        <f>SUM(schedule20!G51:M51)</f>
        <v>0</v>
      </c>
      <c r="H613" s="59">
        <f>schedule20!N51</f>
        <v>0</v>
      </c>
      <c r="I613" s="59">
        <f>SUM(schedule20!P51:Q51)</f>
        <v>0</v>
      </c>
      <c r="J613" s="59">
        <f>schedule20!R51</f>
        <v>0</v>
      </c>
      <c r="K613" s="57"/>
      <c r="L613" s="8"/>
      <c r="M613" s="8"/>
      <c r="N613" s="8"/>
      <c r="O613" s="8"/>
      <c r="P613" s="8"/>
      <c r="Q613" s="59">
        <f t="shared" si="82"/>
        <v>0</v>
      </c>
    </row>
    <row r="614" spans="1:17" ht="20.25" customHeight="1">
      <c r="A614" s="106">
        <v>614</v>
      </c>
      <c r="B614" s="326"/>
      <c r="C614" s="314">
        <v>3028</v>
      </c>
      <c r="D614" s="59" t="s">
        <v>159</v>
      </c>
      <c r="E614" s="59">
        <f>schedule20!E52</f>
        <v>0</v>
      </c>
      <c r="F614" s="59">
        <f>schedule20!F52</f>
        <v>0</v>
      </c>
      <c r="G614" s="59">
        <f>SUM(schedule20!G52:M52)</f>
        <v>0</v>
      </c>
      <c r="H614" s="59">
        <f>schedule20!N52</f>
        <v>0</v>
      </c>
      <c r="I614" s="59">
        <f>SUM(schedule20!P52:Q52)</f>
        <v>0</v>
      </c>
      <c r="J614" s="59">
        <f>schedule20!R52</f>
        <v>0</v>
      </c>
      <c r="K614" s="57"/>
      <c r="L614" s="8"/>
      <c r="M614" s="8"/>
      <c r="N614" s="8"/>
      <c r="O614" s="8"/>
      <c r="P614" s="8"/>
      <c r="Q614" s="59">
        <f t="shared" si="82"/>
        <v>0</v>
      </c>
    </row>
    <row r="615" spans="1:17" ht="20.25" customHeight="1">
      <c r="A615" s="106">
        <v>615</v>
      </c>
      <c r="B615" s="169"/>
      <c r="C615" s="314">
        <v>3030</v>
      </c>
      <c r="D615" s="59" t="s">
        <v>253</v>
      </c>
      <c r="E615" s="59">
        <f>schedule20!E53</f>
        <v>0</v>
      </c>
      <c r="F615" s="59">
        <f>schedule20!F53</f>
        <v>0</v>
      </c>
      <c r="G615" s="59">
        <f>SUM(schedule20!G53:M53)</f>
        <v>0</v>
      </c>
      <c r="H615" s="59">
        <f>schedule20!N53</f>
        <v>0</v>
      </c>
      <c r="I615" s="59">
        <f>SUM(schedule20!P53:Q53)</f>
        <v>0</v>
      </c>
      <c r="J615" s="59">
        <f>schedule20!R53</f>
        <v>0</v>
      </c>
      <c r="K615" s="57"/>
      <c r="L615" s="8"/>
      <c r="M615" s="8"/>
      <c r="N615" s="8"/>
      <c r="O615" s="8"/>
      <c r="P615" s="8"/>
      <c r="Q615" s="59">
        <f t="shared" si="82"/>
        <v>0</v>
      </c>
    </row>
    <row r="616" spans="1:17" ht="20.25" customHeight="1">
      <c r="A616" s="106">
        <v>616</v>
      </c>
      <c r="B616" s="169"/>
      <c r="C616" s="314">
        <v>3042</v>
      </c>
      <c r="D616" s="59" t="s">
        <v>254</v>
      </c>
      <c r="E616" s="59">
        <f>schedule20!E54</f>
        <v>0</v>
      </c>
      <c r="F616" s="59">
        <f>schedule20!F54</f>
        <v>0</v>
      </c>
      <c r="G616" s="59">
        <f>SUM(schedule20!G54:M54)</f>
        <v>0</v>
      </c>
      <c r="H616" s="59">
        <f>schedule20!N54</f>
        <v>0</v>
      </c>
      <c r="I616" s="59">
        <f>SUM(schedule20!P54:Q54)</f>
        <v>0</v>
      </c>
      <c r="J616" s="59">
        <f>schedule20!R54</f>
        <v>0</v>
      </c>
      <c r="K616" s="57"/>
      <c r="L616" s="8"/>
      <c r="M616" s="8"/>
      <c r="N616" s="8"/>
      <c r="O616" s="8"/>
      <c r="P616" s="8"/>
      <c r="Q616" s="59">
        <f t="shared" si="82"/>
        <v>0</v>
      </c>
    </row>
    <row r="617" spans="1:17" ht="20.25" customHeight="1">
      <c r="A617" s="106">
        <v>617</v>
      </c>
      <c r="B617" s="169"/>
      <c r="C617" s="314">
        <v>3044</v>
      </c>
      <c r="D617" s="59" t="s">
        <v>255</v>
      </c>
      <c r="E617" s="59">
        <f>schedule20!E55</f>
        <v>0</v>
      </c>
      <c r="F617" s="59">
        <f>schedule20!F55</f>
        <v>0</v>
      </c>
      <c r="G617" s="59">
        <f>SUM(schedule20!G55:M55)</f>
        <v>0</v>
      </c>
      <c r="H617" s="59">
        <f>schedule20!N55</f>
        <v>0</v>
      </c>
      <c r="I617" s="59">
        <f>SUM(schedule20!P55:Q55)</f>
        <v>0</v>
      </c>
      <c r="J617" s="59">
        <f>schedule20!R55</f>
        <v>0</v>
      </c>
      <c r="K617" s="57"/>
      <c r="L617" s="8"/>
      <c r="M617" s="8"/>
      <c r="N617" s="8"/>
      <c r="O617" s="8"/>
      <c r="P617" s="8"/>
      <c r="Q617" s="59">
        <f t="shared" si="82"/>
        <v>0</v>
      </c>
    </row>
    <row r="618" spans="1:17" ht="20.25" customHeight="1">
      <c r="A618" s="106">
        <v>618</v>
      </c>
      <c r="B618" s="169"/>
      <c r="C618" s="314">
        <v>3046</v>
      </c>
      <c r="D618" s="59" t="s">
        <v>256</v>
      </c>
      <c r="E618" s="59">
        <f>schedule20!E56</f>
        <v>0</v>
      </c>
      <c r="F618" s="59">
        <f>schedule20!F56</f>
        <v>0</v>
      </c>
      <c r="G618" s="59">
        <f>SUM(schedule20!G56:M56)</f>
        <v>0</v>
      </c>
      <c r="H618" s="59">
        <f>schedule20!N56</f>
        <v>0</v>
      </c>
      <c r="I618" s="59">
        <f>SUM(schedule20!P56:Q56)</f>
        <v>0</v>
      </c>
      <c r="J618" s="59">
        <f>schedule20!R56</f>
        <v>0</v>
      </c>
      <c r="K618" s="57"/>
      <c r="L618" s="8"/>
      <c r="M618" s="8"/>
      <c r="N618" s="8"/>
      <c r="O618" s="8"/>
      <c r="P618" s="8"/>
      <c r="Q618" s="59">
        <f t="shared" si="82"/>
        <v>0</v>
      </c>
    </row>
    <row r="619" spans="1:17" ht="20.25" customHeight="1">
      <c r="A619" s="106">
        <v>619</v>
      </c>
      <c r="B619" s="169"/>
      <c r="C619" s="314">
        <v>3048</v>
      </c>
      <c r="D619" s="59" t="s">
        <v>257</v>
      </c>
      <c r="E619" s="59">
        <f>schedule20!E57</f>
        <v>0</v>
      </c>
      <c r="F619" s="59">
        <f>schedule20!F57</f>
        <v>0</v>
      </c>
      <c r="G619" s="59">
        <f>SUM(schedule20!G57:M57)</f>
        <v>0</v>
      </c>
      <c r="H619" s="59">
        <f>schedule20!N57</f>
        <v>0</v>
      </c>
      <c r="I619" s="59">
        <f>SUM(schedule20!P57:Q57)</f>
        <v>0</v>
      </c>
      <c r="J619" s="59">
        <f>schedule20!R57</f>
        <v>0</v>
      </c>
      <c r="K619" s="8"/>
      <c r="L619" s="8"/>
      <c r="M619" s="8"/>
      <c r="N619" s="8"/>
      <c r="O619" s="8"/>
      <c r="P619" s="8"/>
      <c r="Q619" s="59">
        <f t="shared" si="82"/>
        <v>0</v>
      </c>
    </row>
    <row r="620" spans="1:17" ht="20.25" customHeight="1">
      <c r="A620" s="106">
        <v>620</v>
      </c>
      <c r="B620" s="169"/>
      <c r="C620" s="314">
        <v>3052</v>
      </c>
      <c r="D620" s="59" t="s">
        <v>165</v>
      </c>
      <c r="E620" s="59">
        <f>schedule20!E58</f>
        <v>0</v>
      </c>
      <c r="F620" s="59">
        <f>schedule20!F58</f>
        <v>0</v>
      </c>
      <c r="G620" s="59">
        <f>SUM(schedule20!G58:M58)</f>
        <v>0</v>
      </c>
      <c r="H620" s="59">
        <f>schedule20!N58</f>
        <v>0</v>
      </c>
      <c r="I620" s="59">
        <f>SUM(schedule20!P58:Q58)</f>
        <v>0</v>
      </c>
      <c r="J620" s="59">
        <f>schedule20!R58</f>
        <v>0</v>
      </c>
      <c r="K620" s="57"/>
      <c r="L620" s="8"/>
      <c r="M620" s="8"/>
      <c r="N620" s="8"/>
      <c r="O620" s="8"/>
      <c r="P620" s="8"/>
      <c r="Q620" s="59">
        <f t="shared" si="82"/>
        <v>0</v>
      </c>
    </row>
    <row r="621" spans="1:17" ht="20.25" customHeight="1">
      <c r="A621" s="106">
        <v>621</v>
      </c>
      <c r="B621" s="169"/>
      <c r="C621" s="314">
        <v>3054</v>
      </c>
      <c r="D621" s="59" t="s">
        <v>166</v>
      </c>
      <c r="E621" s="59">
        <f>schedule20!E59</f>
        <v>0</v>
      </c>
      <c r="F621" s="59">
        <f>schedule20!F59</f>
        <v>0</v>
      </c>
      <c r="G621" s="59">
        <f>SUM(schedule20!G59:M59)</f>
        <v>0</v>
      </c>
      <c r="H621" s="59">
        <f>schedule20!N59</f>
        <v>0</v>
      </c>
      <c r="I621" s="59">
        <f>SUM(schedule20!P59:Q59)</f>
        <v>0</v>
      </c>
      <c r="J621" s="59">
        <f>schedule20!R59</f>
        <v>0</v>
      </c>
      <c r="K621" s="57"/>
      <c r="L621" s="8"/>
      <c r="M621" s="8"/>
      <c r="N621" s="8"/>
      <c r="O621" s="8"/>
      <c r="P621" s="8"/>
      <c r="Q621" s="59">
        <f t="shared" si="82"/>
        <v>0</v>
      </c>
    </row>
    <row r="622" spans="1:17" ht="20.25" customHeight="1">
      <c r="A622" s="106">
        <v>622</v>
      </c>
      <c r="B622" s="169"/>
      <c r="C622" s="314">
        <v>3056</v>
      </c>
      <c r="D622" s="59" t="s">
        <v>167</v>
      </c>
      <c r="E622" s="59">
        <f>schedule20!E60</f>
        <v>0</v>
      </c>
      <c r="F622" s="59">
        <f>schedule20!F60</f>
        <v>0</v>
      </c>
      <c r="G622" s="59">
        <f>SUM(schedule20!G60:M60)</f>
        <v>0</v>
      </c>
      <c r="H622" s="59">
        <f>schedule20!N60</f>
        <v>0</v>
      </c>
      <c r="I622" s="59">
        <f>SUM(schedule20!P60:Q60)</f>
        <v>0</v>
      </c>
      <c r="J622" s="59">
        <f>schedule20!R60</f>
        <v>0</v>
      </c>
      <c r="K622" s="57"/>
      <c r="L622" s="8"/>
      <c r="M622" s="8"/>
      <c r="N622" s="8"/>
      <c r="O622" s="8"/>
      <c r="P622" s="8"/>
      <c r="Q622" s="59">
        <f t="shared" si="82"/>
        <v>0</v>
      </c>
    </row>
    <row r="623" spans="1:17" ht="20.25" customHeight="1">
      <c r="A623" s="106">
        <v>623</v>
      </c>
      <c r="B623" s="169"/>
      <c r="C623" s="314">
        <v>3058</v>
      </c>
      <c r="D623" s="59" t="s">
        <v>168</v>
      </c>
      <c r="E623" s="59">
        <f>schedule20!E61</f>
        <v>0</v>
      </c>
      <c r="F623" s="59">
        <f>schedule20!F61</f>
        <v>0</v>
      </c>
      <c r="G623" s="59">
        <f>SUM(schedule20!G61:M61)</f>
        <v>0</v>
      </c>
      <c r="H623" s="59">
        <f>schedule20!N61</f>
        <v>0</v>
      </c>
      <c r="I623" s="59">
        <f>SUM(schedule20!P61:Q61)</f>
        <v>0</v>
      </c>
      <c r="J623" s="59">
        <f>schedule20!R61</f>
        <v>0</v>
      </c>
      <c r="K623" s="57"/>
      <c r="L623" s="8"/>
      <c r="M623" s="8"/>
      <c r="N623" s="8"/>
      <c r="O623" s="8"/>
      <c r="P623" s="8"/>
      <c r="Q623" s="59">
        <f t="shared" si="82"/>
        <v>0</v>
      </c>
    </row>
    <row r="624" spans="1:17" ht="20.25" customHeight="1">
      <c r="A624" s="106">
        <v>624</v>
      </c>
      <c r="B624" s="169"/>
      <c r="C624" s="314">
        <v>3062</v>
      </c>
      <c r="D624" s="59" t="s">
        <v>170</v>
      </c>
      <c r="E624" s="59">
        <f>schedule20!E62</f>
        <v>0</v>
      </c>
      <c r="F624" s="59">
        <f>schedule20!F62</f>
        <v>0</v>
      </c>
      <c r="G624" s="59">
        <f>SUM(schedule20!G62:M62)</f>
        <v>0</v>
      </c>
      <c r="H624" s="59">
        <f>schedule20!N62</f>
        <v>0</v>
      </c>
      <c r="I624" s="59">
        <f>SUM(schedule20!P62:Q62)</f>
        <v>0</v>
      </c>
      <c r="J624" s="59">
        <f>schedule20!R62</f>
        <v>0</v>
      </c>
      <c r="K624" s="57"/>
      <c r="L624" s="8"/>
      <c r="M624" s="57"/>
      <c r="N624" s="8"/>
      <c r="O624" s="8"/>
      <c r="P624" s="8"/>
      <c r="Q624" s="59">
        <f t="shared" si="82"/>
        <v>0</v>
      </c>
    </row>
    <row r="625" spans="1:17" ht="20.25" customHeight="1">
      <c r="A625" s="106">
        <v>625</v>
      </c>
      <c r="B625" s="169"/>
      <c r="C625" s="314">
        <v>3064</v>
      </c>
      <c r="D625" s="59" t="s">
        <v>171</v>
      </c>
      <c r="E625" s="59">
        <f>schedule20!E63</f>
        <v>0</v>
      </c>
      <c r="F625" s="59">
        <f>schedule20!F63</f>
        <v>0</v>
      </c>
      <c r="G625" s="59">
        <f>SUM(schedule20!G63:M63)</f>
        <v>0</v>
      </c>
      <c r="H625" s="59">
        <f>schedule20!N63</f>
        <v>0</v>
      </c>
      <c r="I625" s="59">
        <f>SUM(schedule20!P63:Q63)</f>
        <v>0</v>
      </c>
      <c r="J625" s="59">
        <f>schedule20!R63</f>
        <v>0</v>
      </c>
      <c r="K625" s="57"/>
      <c r="L625" s="8"/>
      <c r="M625" s="57"/>
      <c r="N625" s="8"/>
      <c r="O625" s="8"/>
      <c r="P625" s="8"/>
      <c r="Q625" s="59">
        <f t="shared" si="82"/>
        <v>0</v>
      </c>
    </row>
    <row r="626" spans="1:17" ht="20.25" customHeight="1">
      <c r="A626" s="106">
        <v>626</v>
      </c>
      <c r="B626" s="169"/>
      <c r="C626" s="314">
        <v>3066</v>
      </c>
      <c r="D626" s="59" t="s">
        <v>172</v>
      </c>
      <c r="E626" s="59">
        <f>schedule20!E64</f>
        <v>0</v>
      </c>
      <c r="F626" s="59">
        <f>schedule20!F64</f>
        <v>0</v>
      </c>
      <c r="G626" s="59">
        <f>SUM(schedule20!G64:M64)</f>
        <v>0</v>
      </c>
      <c r="H626" s="59">
        <f>schedule20!N64</f>
        <v>0</v>
      </c>
      <c r="I626" s="59">
        <f>SUM(schedule20!P64:Q64)</f>
        <v>0</v>
      </c>
      <c r="J626" s="57"/>
      <c r="K626" s="8"/>
      <c r="L626" s="8"/>
      <c r="M626" s="57"/>
      <c r="N626" s="8"/>
      <c r="O626" s="8"/>
      <c r="P626" s="8"/>
      <c r="Q626" s="59">
        <f t="shared" si="82"/>
        <v>0</v>
      </c>
    </row>
    <row r="627" spans="1:17" ht="20.25" customHeight="1">
      <c r="A627" s="106">
        <v>627</v>
      </c>
      <c r="B627" s="169"/>
      <c r="C627" s="314">
        <v>3072</v>
      </c>
      <c r="D627" s="59" t="s">
        <v>174</v>
      </c>
      <c r="E627" s="59">
        <f>schedule20!E65</f>
        <v>0</v>
      </c>
      <c r="F627" s="59">
        <f>schedule20!F65</f>
        <v>0</v>
      </c>
      <c r="G627" s="59">
        <f>SUM(schedule20!G65:M65)</f>
        <v>0</v>
      </c>
      <c r="H627" s="59">
        <f>schedule20!N65</f>
        <v>0</v>
      </c>
      <c r="I627" s="59">
        <f>SUM(schedule20!P65:Q65)</f>
        <v>0</v>
      </c>
      <c r="J627" s="59">
        <f>schedule20!R65</f>
        <v>0</v>
      </c>
      <c r="K627" s="8"/>
      <c r="L627" s="8"/>
      <c r="M627" s="8"/>
      <c r="N627" s="8"/>
      <c r="O627" s="8"/>
      <c r="P627" s="8"/>
      <c r="Q627" s="59">
        <f t="shared" si="82"/>
        <v>0</v>
      </c>
    </row>
    <row r="628" spans="1:17" ht="20.25" customHeight="1">
      <c r="A628" s="106">
        <v>628</v>
      </c>
      <c r="B628" s="169"/>
      <c r="C628" s="314">
        <v>3075</v>
      </c>
      <c r="D628" s="59" t="s">
        <v>177</v>
      </c>
      <c r="E628" s="59">
        <f>schedule20!E66</f>
        <v>0</v>
      </c>
      <c r="F628" s="59">
        <f>schedule20!F66</f>
        <v>0</v>
      </c>
      <c r="G628" s="59">
        <f>SUM(schedule20!G66:M66)</f>
        <v>0</v>
      </c>
      <c r="H628" s="59">
        <f>schedule20!N66</f>
        <v>0</v>
      </c>
      <c r="I628" s="59">
        <f>SUM(schedule20!P66:Q66)</f>
        <v>0</v>
      </c>
      <c r="J628" s="59">
        <f>schedule20!R66</f>
        <v>0</v>
      </c>
      <c r="K628" s="8"/>
      <c r="L628" s="8"/>
      <c r="M628" s="8"/>
      <c r="N628" s="8"/>
      <c r="O628" s="8"/>
      <c r="P628" s="8"/>
      <c r="Q628" s="59">
        <f t="shared" si="82"/>
        <v>0</v>
      </c>
    </row>
    <row r="629" spans="1:17" ht="20.25" customHeight="1">
      <c r="A629" s="106">
        <v>629</v>
      </c>
      <c r="B629" s="169"/>
      <c r="C629" s="314">
        <v>3076</v>
      </c>
      <c r="D629" s="59" t="s">
        <v>179</v>
      </c>
      <c r="E629" s="59">
        <f>schedule20!E67</f>
        <v>0</v>
      </c>
      <c r="F629" s="59">
        <f>schedule20!F67</f>
        <v>0</v>
      </c>
      <c r="G629" s="59">
        <f>SUM(schedule20!G67:M67)</f>
        <v>0</v>
      </c>
      <c r="H629" s="59">
        <f>schedule20!N67</f>
        <v>0</v>
      </c>
      <c r="I629" s="59">
        <f>SUM(schedule20!P67:Q67)</f>
        <v>0</v>
      </c>
      <c r="J629" s="59">
        <f>schedule20!R67</f>
        <v>0</v>
      </c>
      <c r="K629" s="8"/>
      <c r="L629" s="8"/>
      <c r="M629" s="8"/>
      <c r="N629" s="8"/>
      <c r="O629" s="8"/>
      <c r="P629" s="8"/>
      <c r="Q629" s="59">
        <f t="shared" si="82"/>
        <v>0</v>
      </c>
    </row>
    <row r="630" spans="1:17" ht="20.25" customHeight="1">
      <c r="A630" s="106">
        <v>630</v>
      </c>
      <c r="B630" s="169"/>
      <c r="C630" s="314">
        <v>3077</v>
      </c>
      <c r="D630" s="59" t="s">
        <v>180</v>
      </c>
      <c r="E630" s="59">
        <f>schedule20!E68</f>
        <v>0</v>
      </c>
      <c r="F630" s="59">
        <f>schedule20!F68</f>
        <v>0</v>
      </c>
      <c r="G630" s="59">
        <f>SUM(schedule20!G68:M68)</f>
        <v>0</v>
      </c>
      <c r="H630" s="59">
        <f>schedule20!N68</f>
        <v>0</v>
      </c>
      <c r="I630" s="59">
        <f>SUM(schedule20!P68:Q68)</f>
        <v>367272</v>
      </c>
      <c r="J630" s="59">
        <f>schedule20!R68</f>
        <v>0</v>
      </c>
      <c r="K630" s="8">
        <v>401966</v>
      </c>
      <c r="L630" s="8"/>
      <c r="M630" s="8"/>
      <c r="N630" s="8"/>
      <c r="O630" s="8"/>
      <c r="P630" s="8"/>
      <c r="Q630" s="59">
        <f t="shared" si="82"/>
        <v>769238</v>
      </c>
    </row>
    <row r="631" spans="1:17" ht="20.25" customHeight="1">
      <c r="A631" s="106">
        <v>631</v>
      </c>
      <c r="B631" s="169"/>
      <c r="C631" s="314">
        <v>3078</v>
      </c>
      <c r="D631" s="59" t="s">
        <v>181</v>
      </c>
      <c r="E631" s="59">
        <f>schedule20!E69</f>
        <v>0</v>
      </c>
      <c r="F631" s="59">
        <f>schedule20!F69</f>
        <v>0</v>
      </c>
      <c r="G631" s="59">
        <f>SUM(schedule20!G69:M69)</f>
        <v>0</v>
      </c>
      <c r="H631" s="59">
        <f>schedule20!N69</f>
        <v>0</v>
      </c>
      <c r="I631" s="59">
        <f>SUM(schedule20!P69:Q69)</f>
        <v>99024</v>
      </c>
      <c r="J631" s="59">
        <f>schedule20!R69</f>
        <v>0</v>
      </c>
      <c r="K631" s="8"/>
      <c r="L631" s="8"/>
      <c r="M631" s="8"/>
      <c r="N631" s="8"/>
      <c r="O631" s="8"/>
      <c r="P631" s="8"/>
      <c r="Q631" s="59">
        <f t="shared" si="82"/>
        <v>99024</v>
      </c>
    </row>
    <row r="632" spans="1:17" ht="20.25" customHeight="1">
      <c r="A632" s="106">
        <v>632</v>
      </c>
      <c r="B632" s="4"/>
      <c r="C632" s="314">
        <v>3080</v>
      </c>
      <c r="D632" s="339" t="s">
        <v>258</v>
      </c>
      <c r="E632" s="60">
        <f t="shared" ref="E632:L632" ca="1" si="83">SUM(E547:E555, E585, E587:E631)</f>
        <v>371286</v>
      </c>
      <c r="F632" s="60">
        <f t="shared" ca="1" si="83"/>
        <v>557454</v>
      </c>
      <c r="G632" s="60">
        <f t="shared" ca="1" si="83"/>
        <v>0</v>
      </c>
      <c r="H632" s="60">
        <f t="shared" ca="1" si="83"/>
        <v>1878905</v>
      </c>
      <c r="I632" s="60">
        <f t="shared" ca="1" si="83"/>
        <v>504147</v>
      </c>
      <c r="J632" s="60">
        <f t="shared" ca="1" si="83"/>
        <v>0</v>
      </c>
      <c r="K632" s="60">
        <f>SUM(K547:K555, K585, K587:K631)</f>
        <v>401966</v>
      </c>
      <c r="L632" s="60">
        <f t="shared" ca="1" si="83"/>
        <v>136553</v>
      </c>
      <c r="M632" s="60">
        <f ca="1">SUM(M547:M555, M585, M587:M623,M627:M631)</f>
        <v>94911</v>
      </c>
      <c r="N632" s="60">
        <f>SUM(N547:N555, N587:N631)</f>
        <v>0</v>
      </c>
      <c r="O632" s="60">
        <f>SUM(O547:O555, O587:O631)</f>
        <v>0</v>
      </c>
      <c r="P632" s="60">
        <f ca="1">SUM(P547:P555, P585, P587:P631)</f>
        <v>0</v>
      </c>
      <c r="Q632" s="60">
        <f t="shared" ca="1" si="82"/>
        <v>3945222</v>
      </c>
    </row>
    <row r="633" spans="1:17" ht="20.25" customHeight="1">
      <c r="A633" s="106"/>
      <c r="B633" s="4"/>
      <c r="C633" s="315"/>
      <c r="D633" s="340"/>
      <c r="E633" s="13"/>
      <c r="F633" s="13"/>
      <c r="G633" s="13"/>
      <c r="H633" s="13"/>
      <c r="I633" s="13"/>
      <c r="J633" s="13"/>
      <c r="K633" s="13"/>
      <c r="L633" s="13"/>
      <c r="M633" s="13"/>
      <c r="N633" s="13"/>
      <c r="O633" s="13"/>
      <c r="P633" s="4"/>
      <c r="Q633" s="4"/>
    </row>
    <row r="634" spans="1:17" ht="20.25" customHeight="1">
      <c r="A634" s="106"/>
      <c r="B634" s="4"/>
      <c r="C634" s="315"/>
      <c r="D634" s="340"/>
      <c r="E634" s="13"/>
      <c r="F634" s="13"/>
      <c r="G634" s="13"/>
      <c r="H634" s="13"/>
      <c r="I634" s="13"/>
      <c r="J634" s="13"/>
      <c r="K634" s="13"/>
      <c r="L634" s="13"/>
      <c r="M634" s="13"/>
      <c r="N634" s="13"/>
      <c r="O634" s="13"/>
      <c r="P634" s="4"/>
      <c r="Q634" s="4"/>
    </row>
    <row r="635" spans="1:17" ht="20.25" customHeight="1">
      <c r="A635" s="106"/>
      <c r="B635" s="4"/>
      <c r="C635" s="107" t="s">
        <v>259</v>
      </c>
      <c r="D635" s="341"/>
      <c r="E635" s="79">
        <v>1</v>
      </c>
      <c r="F635" s="79">
        <v>2</v>
      </c>
      <c r="G635" s="79">
        <v>3</v>
      </c>
      <c r="H635" s="79">
        <v>4</v>
      </c>
      <c r="I635" s="79">
        <v>5</v>
      </c>
      <c r="J635" s="79">
        <v>6</v>
      </c>
      <c r="K635" s="78"/>
      <c r="L635" s="104" t="s">
        <v>260</v>
      </c>
      <c r="M635" s="4"/>
      <c r="N635" s="4"/>
      <c r="O635" s="4"/>
      <c r="P635" s="4"/>
      <c r="Q635" s="4"/>
    </row>
    <row r="636" spans="1:17" ht="20.25" customHeight="1">
      <c r="A636" s="106"/>
      <c r="B636" s="4"/>
      <c r="C636" s="341" t="s">
        <v>261</v>
      </c>
      <c r="D636" s="107"/>
      <c r="E636" s="79" t="s">
        <v>262</v>
      </c>
      <c r="F636" s="79" t="s">
        <v>263</v>
      </c>
      <c r="G636" s="79" t="s">
        <v>264</v>
      </c>
      <c r="H636" s="342" t="s">
        <v>265</v>
      </c>
      <c r="I636" s="342" t="s">
        <v>266</v>
      </c>
      <c r="J636" s="161"/>
      <c r="K636" s="78"/>
      <c r="L636" s="104" t="s">
        <v>267</v>
      </c>
      <c r="M636" s="4"/>
      <c r="N636" s="4"/>
      <c r="O636" s="4"/>
      <c r="P636" s="4"/>
      <c r="Q636" s="4"/>
    </row>
    <row r="637" spans="1:17" ht="20.25" customHeight="1">
      <c r="A637" s="106"/>
      <c r="B637" s="4"/>
      <c r="C637" s="107" t="s">
        <v>268</v>
      </c>
      <c r="D637" s="107"/>
      <c r="E637" s="165" t="s">
        <v>269</v>
      </c>
      <c r="F637" s="165" t="s">
        <v>270</v>
      </c>
      <c r="G637" s="165" t="s">
        <v>270</v>
      </c>
      <c r="H637" s="343" t="s">
        <v>271</v>
      </c>
      <c r="I637" s="343" t="s">
        <v>272</v>
      </c>
      <c r="J637" s="344"/>
      <c r="K637" s="78"/>
      <c r="L637" s="104" t="s">
        <v>273</v>
      </c>
      <c r="M637" s="4"/>
      <c r="N637" s="4"/>
      <c r="O637" s="4"/>
      <c r="P637" s="4"/>
      <c r="Q637" s="4"/>
    </row>
    <row r="638" spans="1:17" ht="20.25" customHeight="1">
      <c r="A638" s="106"/>
      <c r="B638" s="4"/>
      <c r="C638" s="4"/>
      <c r="D638" s="4"/>
      <c r="E638" s="165" t="s">
        <v>274</v>
      </c>
      <c r="F638" s="165" t="s">
        <v>275</v>
      </c>
      <c r="G638" s="165" t="s">
        <v>275</v>
      </c>
      <c r="H638" s="343" t="s">
        <v>276</v>
      </c>
      <c r="I638" s="343" t="s">
        <v>276</v>
      </c>
      <c r="J638" s="165" t="s">
        <v>36</v>
      </c>
      <c r="K638" s="78"/>
      <c r="L638" s="104" t="s">
        <v>277</v>
      </c>
      <c r="M638" s="4"/>
      <c r="N638" s="4"/>
      <c r="O638" s="4"/>
      <c r="P638" s="4"/>
      <c r="Q638" s="4"/>
    </row>
    <row r="639" spans="1:17" ht="20.25" customHeight="1">
      <c r="A639" s="106"/>
      <c r="B639" s="4"/>
      <c r="C639" s="14"/>
      <c r="D639" s="345" t="s">
        <v>278</v>
      </c>
      <c r="E639" s="99"/>
      <c r="F639" s="99"/>
      <c r="G639" s="99"/>
      <c r="H639" s="99"/>
      <c r="I639" s="99"/>
      <c r="J639" s="99"/>
      <c r="K639" s="4"/>
      <c r="L639" s="104" t="s">
        <v>279</v>
      </c>
      <c r="M639" s="4"/>
      <c r="N639" s="4"/>
      <c r="O639" s="4"/>
      <c r="P639" s="4"/>
      <c r="Q639" s="4"/>
    </row>
    <row r="640" spans="1:17" ht="20.25" customHeight="1">
      <c r="A640" s="106">
        <v>640</v>
      </c>
      <c r="B640" s="4"/>
      <c r="C640" s="280">
        <v>3100</v>
      </c>
      <c r="D640" s="550"/>
      <c r="E640" s="549"/>
      <c r="F640" s="6"/>
      <c r="G640" s="7"/>
      <c r="H640" s="7"/>
      <c r="I640" s="7"/>
      <c r="J640" s="87">
        <f>ROUND(SUM(F640:I640),0)</f>
        <v>0</v>
      </c>
      <c r="M640" s="4"/>
      <c r="N640" s="4"/>
      <c r="O640" s="4"/>
      <c r="P640" s="4"/>
      <c r="Q640" s="4"/>
    </row>
    <row r="641" spans="1:15" ht="20.25" customHeight="1">
      <c r="A641" s="106">
        <v>641</v>
      </c>
      <c r="B641" s="4"/>
      <c r="C641" s="280">
        <v>3110</v>
      </c>
      <c r="D641" s="550"/>
      <c r="E641" s="549"/>
      <c r="F641" s="6"/>
      <c r="G641" s="7"/>
      <c r="H641" s="7"/>
      <c r="I641" s="7"/>
      <c r="J641" s="87">
        <f t="shared" ref="J641:J667" si="84">ROUND(SUM(F641:I641),0)</f>
        <v>0</v>
      </c>
      <c r="M641" s="4"/>
      <c r="N641" s="4"/>
      <c r="O641" s="4"/>
    </row>
    <row r="642" spans="1:15" ht="20.25" customHeight="1">
      <c r="A642" s="106">
        <v>642</v>
      </c>
      <c r="B642" s="4"/>
      <c r="C642" s="280">
        <v>3120</v>
      </c>
      <c r="D642" s="550"/>
      <c r="E642" s="549"/>
      <c r="F642" s="6"/>
      <c r="G642" s="7"/>
      <c r="H642" s="7"/>
      <c r="I642" s="7"/>
      <c r="J642" s="87">
        <f t="shared" si="84"/>
        <v>0</v>
      </c>
      <c r="L642" s="105" t="s">
        <v>280</v>
      </c>
      <c r="M642" s="4"/>
      <c r="N642" s="4"/>
      <c r="O642" s="4"/>
    </row>
    <row r="643" spans="1:15" ht="20.25" customHeight="1">
      <c r="A643" s="106">
        <v>643</v>
      </c>
      <c r="B643" s="4"/>
      <c r="C643" s="280">
        <v>3130</v>
      </c>
      <c r="D643" s="550"/>
      <c r="E643" s="549"/>
      <c r="F643" s="6"/>
      <c r="G643" s="7"/>
      <c r="H643" s="7"/>
      <c r="I643" s="7"/>
      <c r="J643" s="43">
        <f t="shared" si="84"/>
        <v>0</v>
      </c>
      <c r="M643" s="4"/>
      <c r="N643" s="4"/>
      <c r="O643" s="4"/>
    </row>
    <row r="644" spans="1:15" ht="20.25" customHeight="1">
      <c r="A644" s="106">
        <v>644</v>
      </c>
      <c r="B644" s="331"/>
      <c r="C644" s="280">
        <v>3140</v>
      </c>
      <c r="D644" s="550"/>
      <c r="E644" s="549"/>
      <c r="F644" s="6"/>
      <c r="G644" s="7"/>
      <c r="H644" s="7"/>
      <c r="I644" s="7"/>
      <c r="J644" s="6">
        <f t="shared" si="84"/>
        <v>0</v>
      </c>
      <c r="K644" s="346" t="s">
        <v>281</v>
      </c>
      <c r="L644" s="109"/>
      <c r="M644" s="4"/>
      <c r="N644" s="4"/>
      <c r="O644" s="4"/>
    </row>
    <row r="645" spans="1:15" ht="20.25" customHeight="1">
      <c r="A645" s="106">
        <v>645</v>
      </c>
      <c r="B645" s="4"/>
      <c r="C645" s="280">
        <v>3150</v>
      </c>
      <c r="D645" s="550"/>
      <c r="E645" s="549"/>
      <c r="F645" s="6"/>
      <c r="G645" s="7"/>
      <c r="H645" s="7"/>
      <c r="I645" s="7"/>
      <c r="J645" s="6">
        <f t="shared" si="84"/>
        <v>0</v>
      </c>
      <c r="K645" s="78"/>
      <c r="L645" s="4"/>
      <c r="M645" s="4"/>
      <c r="N645" s="4"/>
      <c r="O645" s="4"/>
    </row>
    <row r="646" spans="1:15" ht="20.25" customHeight="1">
      <c r="A646" s="106">
        <v>646</v>
      </c>
      <c r="B646" s="331"/>
      <c r="C646" s="280">
        <v>3160</v>
      </c>
      <c r="D646" s="550"/>
      <c r="E646" s="549"/>
      <c r="F646" s="6"/>
      <c r="G646" s="7"/>
      <c r="H646" s="7"/>
      <c r="I646" s="7"/>
      <c r="J646" s="43">
        <f t="shared" si="84"/>
        <v>0</v>
      </c>
      <c r="K646" s="92" t="s">
        <v>282</v>
      </c>
      <c r="L646" s="109"/>
      <c r="M646" s="4"/>
      <c r="N646" s="4"/>
      <c r="O646" s="4"/>
    </row>
    <row r="647" spans="1:15" ht="20.25" customHeight="1">
      <c r="A647" s="106">
        <v>647</v>
      </c>
      <c r="B647" s="4"/>
      <c r="C647" s="280">
        <v>3170</v>
      </c>
      <c r="D647" s="550"/>
      <c r="E647" s="549"/>
      <c r="F647" s="6"/>
      <c r="G647" s="7"/>
      <c r="H647" s="7"/>
      <c r="I647" s="7"/>
      <c r="J647" s="6">
        <f t="shared" si="84"/>
        <v>0</v>
      </c>
      <c r="K647" s="78"/>
      <c r="L647" s="4"/>
      <c r="M647" s="4"/>
      <c r="N647" s="4"/>
      <c r="O647" s="4"/>
    </row>
    <row r="648" spans="1:15" ht="20.25" customHeight="1">
      <c r="A648" s="106">
        <v>648</v>
      </c>
      <c r="B648" s="4"/>
      <c r="C648" s="280">
        <v>3180</v>
      </c>
      <c r="D648" s="550"/>
      <c r="E648" s="549"/>
      <c r="F648" s="6"/>
      <c r="G648" s="7"/>
      <c r="H648" s="7"/>
      <c r="I648" s="7"/>
      <c r="J648" s="6">
        <f t="shared" si="84"/>
        <v>0</v>
      </c>
      <c r="K648" s="78"/>
      <c r="L648" s="4"/>
      <c r="M648" s="4"/>
      <c r="N648" s="4"/>
      <c r="O648" s="4"/>
    </row>
    <row r="649" spans="1:15" ht="20.25" customHeight="1">
      <c r="A649" s="106">
        <v>649</v>
      </c>
      <c r="B649" s="4"/>
      <c r="C649" s="280">
        <v>3190</v>
      </c>
      <c r="D649" s="550"/>
      <c r="E649" s="549"/>
      <c r="F649" s="6"/>
      <c r="G649" s="7"/>
      <c r="H649" s="7"/>
      <c r="I649" s="7"/>
      <c r="J649" s="6">
        <f t="shared" si="84"/>
        <v>0</v>
      </c>
      <c r="K649" s="78"/>
      <c r="L649" s="4"/>
      <c r="M649" s="4"/>
      <c r="N649" s="4"/>
      <c r="O649" s="4"/>
    </row>
    <row r="650" spans="1:15" ht="20.25" customHeight="1">
      <c r="A650" s="106">
        <v>650</v>
      </c>
      <c r="B650" s="4"/>
      <c r="C650" s="280">
        <v>3200</v>
      </c>
      <c r="D650" s="550"/>
      <c r="E650" s="549"/>
      <c r="F650" s="6"/>
      <c r="G650" s="7"/>
      <c r="H650" s="7"/>
      <c r="I650" s="7"/>
      <c r="J650" s="6">
        <f t="shared" si="84"/>
        <v>0</v>
      </c>
      <c r="K650" s="78"/>
      <c r="L650" s="4"/>
      <c r="M650" s="4"/>
      <c r="N650" s="4"/>
      <c r="O650" s="4"/>
    </row>
    <row r="651" spans="1:15" ht="20.25" customHeight="1">
      <c r="A651" s="106">
        <v>651</v>
      </c>
      <c r="B651" s="4"/>
      <c r="C651" s="280">
        <v>3210</v>
      </c>
      <c r="D651" s="550"/>
      <c r="E651" s="549"/>
      <c r="F651" s="6"/>
      <c r="G651" s="7"/>
      <c r="H651" s="7"/>
      <c r="I651" s="7"/>
      <c r="J651" s="6">
        <f t="shared" si="84"/>
        <v>0</v>
      </c>
      <c r="K651" s="78"/>
      <c r="L651" s="4"/>
      <c r="M651" s="4"/>
      <c r="N651" s="4"/>
      <c r="O651" s="4"/>
    </row>
    <row r="652" spans="1:15" ht="20.25" customHeight="1">
      <c r="A652" s="106">
        <v>652</v>
      </c>
      <c r="B652" s="4"/>
      <c r="C652" s="280">
        <v>3220</v>
      </c>
      <c r="D652" s="550"/>
      <c r="E652" s="549"/>
      <c r="F652" s="6"/>
      <c r="G652" s="7"/>
      <c r="H652" s="7"/>
      <c r="I652" s="7"/>
      <c r="J652" s="6">
        <f t="shared" si="84"/>
        <v>0</v>
      </c>
      <c r="K652" s="78"/>
      <c r="L652" s="4"/>
      <c r="M652" s="4"/>
      <c r="N652" s="4"/>
      <c r="O652" s="4"/>
    </row>
    <row r="653" spans="1:15" ht="20.25" customHeight="1">
      <c r="A653" s="106">
        <v>653</v>
      </c>
      <c r="B653" s="4"/>
      <c r="C653" s="280">
        <v>3230</v>
      </c>
      <c r="D653" s="550"/>
      <c r="E653" s="549"/>
      <c r="F653" s="6"/>
      <c r="G653" s="7"/>
      <c r="H653" s="7"/>
      <c r="I653" s="7"/>
      <c r="J653" s="6">
        <f t="shared" si="84"/>
        <v>0</v>
      </c>
      <c r="K653" s="78"/>
      <c r="L653" s="4"/>
      <c r="M653" s="4"/>
      <c r="N653" s="4"/>
      <c r="O653" s="4"/>
    </row>
    <row r="654" spans="1:15" ht="20.25" customHeight="1">
      <c r="A654" s="106">
        <v>654</v>
      </c>
      <c r="B654" s="4"/>
      <c r="C654" s="280">
        <v>3240</v>
      </c>
      <c r="D654" s="550"/>
      <c r="E654" s="549"/>
      <c r="F654" s="6"/>
      <c r="G654" s="7"/>
      <c r="H654" s="7"/>
      <c r="I654" s="7"/>
      <c r="J654" s="6">
        <f t="shared" si="84"/>
        <v>0</v>
      </c>
      <c r="K654" s="78"/>
      <c r="L654" s="4"/>
      <c r="M654" s="4"/>
      <c r="N654" s="4"/>
      <c r="O654" s="4"/>
    </row>
    <row r="655" spans="1:15" ht="20.25" customHeight="1">
      <c r="A655" s="106">
        <v>655</v>
      </c>
      <c r="B655" s="4"/>
      <c r="C655" s="280">
        <v>3250</v>
      </c>
      <c r="D655" s="550"/>
      <c r="E655" s="549"/>
      <c r="F655" s="6"/>
      <c r="G655" s="7"/>
      <c r="H655" s="7"/>
      <c r="I655" s="7"/>
      <c r="J655" s="6">
        <f t="shared" si="84"/>
        <v>0</v>
      </c>
      <c r="K655" s="78"/>
      <c r="L655" s="4"/>
      <c r="M655" s="4"/>
      <c r="N655" s="4"/>
      <c r="O655" s="4"/>
    </row>
    <row r="656" spans="1:15" ht="20.25" customHeight="1">
      <c r="A656" s="106">
        <v>656</v>
      </c>
      <c r="B656" s="4"/>
      <c r="C656" s="280">
        <v>3260</v>
      </c>
      <c r="D656" s="550"/>
      <c r="E656" s="549"/>
      <c r="F656" s="6"/>
      <c r="G656" s="7"/>
      <c r="H656" s="7"/>
      <c r="I656" s="7"/>
      <c r="J656" s="6">
        <f t="shared" si="84"/>
        <v>0</v>
      </c>
      <c r="K656" s="78"/>
      <c r="L656" s="4"/>
      <c r="M656" s="4"/>
      <c r="N656" s="4"/>
      <c r="O656" s="4"/>
    </row>
    <row r="657" spans="1:15" ht="20.25" customHeight="1">
      <c r="A657" s="106">
        <v>657</v>
      </c>
      <c r="B657" s="4"/>
      <c r="C657" s="280">
        <v>3270</v>
      </c>
      <c r="D657" s="550"/>
      <c r="E657" s="549"/>
      <c r="F657" s="6"/>
      <c r="G657" s="7"/>
      <c r="H657" s="7"/>
      <c r="I657" s="7"/>
      <c r="J657" s="6">
        <f t="shared" si="84"/>
        <v>0</v>
      </c>
      <c r="K657" s="78"/>
      <c r="L657" s="4"/>
      <c r="M657" s="4"/>
      <c r="N657" s="4"/>
      <c r="O657" s="4"/>
    </row>
    <row r="658" spans="1:15" ht="20.25" customHeight="1">
      <c r="A658" s="106">
        <v>658</v>
      </c>
      <c r="B658" s="4"/>
      <c r="C658" s="280">
        <v>3280</v>
      </c>
      <c r="D658" s="550"/>
      <c r="E658" s="549"/>
      <c r="F658" s="6"/>
      <c r="G658" s="7"/>
      <c r="H658" s="7"/>
      <c r="I658" s="7"/>
      <c r="J658" s="6">
        <f t="shared" si="84"/>
        <v>0</v>
      </c>
      <c r="K658" s="78"/>
      <c r="L658" s="4"/>
      <c r="M658" s="4"/>
      <c r="N658" s="4"/>
      <c r="O658" s="4"/>
    </row>
    <row r="659" spans="1:15" ht="20.25" customHeight="1">
      <c r="A659" s="106">
        <v>659</v>
      </c>
      <c r="B659" s="4"/>
      <c r="C659" s="280">
        <v>3290</v>
      </c>
      <c r="D659" s="550"/>
      <c r="E659" s="551"/>
      <c r="F659" s="6"/>
      <c r="G659" s="7"/>
      <c r="H659" s="7"/>
      <c r="I659" s="7"/>
      <c r="J659" s="6">
        <f t="shared" si="84"/>
        <v>0</v>
      </c>
      <c r="K659" s="78"/>
      <c r="L659" s="4"/>
      <c r="M659" s="4"/>
      <c r="N659" s="4"/>
      <c r="O659" s="4"/>
    </row>
    <row r="660" spans="1:15" ht="20.25" customHeight="1">
      <c r="A660" s="106">
        <v>660</v>
      </c>
      <c r="B660" s="4"/>
      <c r="C660" s="280">
        <v>3300</v>
      </c>
      <c r="D660" s="550"/>
      <c r="E660" s="551"/>
      <c r="F660" s="6"/>
      <c r="G660" s="7"/>
      <c r="H660" s="7"/>
      <c r="I660" s="7"/>
      <c r="J660" s="6">
        <f t="shared" si="84"/>
        <v>0</v>
      </c>
      <c r="K660" s="78"/>
      <c r="L660" s="4"/>
      <c r="M660" s="4"/>
      <c r="N660" s="4"/>
      <c r="O660" s="4"/>
    </row>
    <row r="661" spans="1:15" ht="20.25" customHeight="1">
      <c r="A661" s="106">
        <v>661</v>
      </c>
      <c r="B661" s="4"/>
      <c r="C661" s="280">
        <v>3310</v>
      </c>
      <c r="D661" s="550"/>
      <c r="E661" s="551"/>
      <c r="F661" s="6"/>
      <c r="G661" s="7"/>
      <c r="H661" s="7"/>
      <c r="I661" s="7"/>
      <c r="J661" s="6">
        <f t="shared" si="84"/>
        <v>0</v>
      </c>
      <c r="K661" s="78"/>
      <c r="L661" s="4"/>
      <c r="M661" s="4"/>
      <c r="N661" s="4"/>
      <c r="O661" s="4"/>
    </row>
    <row r="662" spans="1:15" ht="20.25" customHeight="1">
      <c r="A662" s="106">
        <v>662</v>
      </c>
      <c r="B662" s="4"/>
      <c r="C662" s="280">
        <v>3320</v>
      </c>
      <c r="D662" s="550"/>
      <c r="E662" s="551"/>
      <c r="F662" s="6"/>
      <c r="G662" s="7"/>
      <c r="H662" s="7"/>
      <c r="I662" s="7"/>
      <c r="J662" s="6">
        <f t="shared" si="84"/>
        <v>0</v>
      </c>
      <c r="K662" s="78"/>
      <c r="L662" s="4"/>
      <c r="M662" s="4"/>
      <c r="N662" s="4"/>
      <c r="O662" s="4"/>
    </row>
    <row r="663" spans="1:15" ht="20.25" customHeight="1">
      <c r="A663" s="106">
        <v>663</v>
      </c>
      <c r="B663" s="4"/>
      <c r="C663" s="280">
        <v>3330</v>
      </c>
      <c r="D663" s="550"/>
      <c r="E663" s="551"/>
      <c r="F663" s="6"/>
      <c r="G663" s="7"/>
      <c r="H663" s="7"/>
      <c r="I663" s="7"/>
      <c r="J663" s="6">
        <f t="shared" si="84"/>
        <v>0</v>
      </c>
      <c r="K663" s="78"/>
      <c r="L663" s="4"/>
      <c r="M663" s="4"/>
      <c r="N663" s="4"/>
      <c r="O663" s="4"/>
    </row>
    <row r="664" spans="1:15" ht="20.25" customHeight="1">
      <c r="A664" s="106">
        <v>664</v>
      </c>
      <c r="B664" s="4"/>
      <c r="C664" s="280">
        <v>3340</v>
      </c>
      <c r="D664" s="550"/>
      <c r="E664" s="551"/>
      <c r="F664" s="6"/>
      <c r="G664" s="7"/>
      <c r="H664" s="7"/>
      <c r="I664" s="7"/>
      <c r="J664" s="6">
        <f t="shared" si="84"/>
        <v>0</v>
      </c>
      <c r="K664" s="78"/>
      <c r="L664" s="4"/>
      <c r="M664" s="4"/>
      <c r="N664" s="4"/>
      <c r="O664" s="4"/>
    </row>
    <row r="665" spans="1:15" ht="20.25" customHeight="1">
      <c r="A665" s="106">
        <v>665</v>
      </c>
      <c r="B665" s="4"/>
      <c r="C665" s="280">
        <v>3350</v>
      </c>
      <c r="D665" s="550"/>
      <c r="E665" s="551"/>
      <c r="F665" s="6"/>
      <c r="G665" s="7"/>
      <c r="H665" s="7"/>
      <c r="I665" s="7"/>
      <c r="J665" s="6">
        <f t="shared" si="84"/>
        <v>0</v>
      </c>
      <c r="K665" s="347" t="s">
        <v>283</v>
      </c>
      <c r="L665" s="4"/>
      <c r="M665" s="4"/>
      <c r="N665" s="4"/>
      <c r="O665" s="4"/>
    </row>
    <row r="666" spans="1:15" ht="20.25" customHeight="1">
      <c r="A666" s="106">
        <v>666</v>
      </c>
      <c r="B666" s="348"/>
      <c r="C666" s="280">
        <v>3360</v>
      </c>
      <c r="D666" s="550"/>
      <c r="E666" s="551"/>
      <c r="F666" s="6"/>
      <c r="G666" s="7"/>
      <c r="H666" s="7"/>
      <c r="I666" s="7"/>
      <c r="J666" s="6">
        <f t="shared" si="84"/>
        <v>0</v>
      </c>
      <c r="K666" s="347" t="s">
        <v>284</v>
      </c>
      <c r="L666" s="4"/>
      <c r="M666" s="4"/>
      <c r="N666" s="4"/>
      <c r="O666" s="4"/>
    </row>
    <row r="667" spans="1:15" ht="20.25" customHeight="1">
      <c r="A667" s="106">
        <v>667</v>
      </c>
      <c r="B667" s="4"/>
      <c r="C667" s="349">
        <v>3370</v>
      </c>
      <c r="D667" s="350" t="s">
        <v>285</v>
      </c>
      <c r="E667" s="57"/>
      <c r="F667" s="351">
        <f>ROUND(SUM(F640:F666),0)</f>
        <v>0</v>
      </c>
      <c r="G667" s="351">
        <f>ROUND(SUM(G640:G666),0)</f>
        <v>0</v>
      </c>
      <c r="H667" s="351">
        <f>ROUND(SUM(H640:H666),0)</f>
        <v>0</v>
      </c>
      <c r="I667" s="351">
        <f>ROUND(SUM(I640:I666),0)</f>
        <v>0</v>
      </c>
      <c r="J667" s="43">
        <f t="shared" si="84"/>
        <v>0</v>
      </c>
      <c r="K667" s="124">
        <f>IF($C$7&gt;900,0,ROUND(J667-J15,0))</f>
        <v>0</v>
      </c>
      <c r="L667" s="4"/>
      <c r="M667" s="4"/>
      <c r="N667" s="4"/>
      <c r="O667" s="4"/>
    </row>
    <row r="668" spans="1:15" ht="20.25" customHeight="1">
      <c r="A668" s="106"/>
      <c r="B668" s="4"/>
      <c r="C668" s="4"/>
      <c r="D668" s="13"/>
      <c r="E668" s="17"/>
      <c r="F668" s="4"/>
      <c r="G668" s="4"/>
      <c r="H668" s="4"/>
      <c r="I668" s="4"/>
      <c r="J668" s="4"/>
      <c r="K668" s="13"/>
      <c r="L668" s="4"/>
      <c r="M668" s="4"/>
      <c r="N668" s="4"/>
      <c r="O668" s="4"/>
    </row>
    <row r="669" spans="1:15" ht="20.25" customHeight="1">
      <c r="A669" s="106"/>
      <c r="B669" s="4"/>
      <c r="C669" s="4"/>
      <c r="D669" s="13"/>
      <c r="E669" s="17"/>
      <c r="F669" s="4"/>
      <c r="G669" s="4"/>
      <c r="H669" s="4"/>
      <c r="I669" s="4"/>
      <c r="J669" s="4"/>
      <c r="K669" s="13"/>
      <c r="L669" s="4"/>
      <c r="M669" s="4"/>
      <c r="N669" s="4"/>
      <c r="O669" s="4"/>
    </row>
    <row r="670" spans="1:15" ht="20.25" customHeight="1">
      <c r="A670" s="106"/>
      <c r="B670" s="4"/>
      <c r="C670" s="4"/>
      <c r="D670" s="159" t="s">
        <v>286</v>
      </c>
      <c r="E670" s="684" t="s">
        <v>19</v>
      </c>
      <c r="F670" s="684" t="s">
        <v>20</v>
      </c>
      <c r="G670" s="684">
        <v>3</v>
      </c>
      <c r="H670" s="684">
        <v>4</v>
      </c>
      <c r="I670" s="684">
        <v>5</v>
      </c>
      <c r="J670" s="685">
        <v>6</v>
      </c>
      <c r="K670" s="160">
        <v>7</v>
      </c>
      <c r="L670" s="4"/>
      <c r="M670" s="4"/>
      <c r="N670" s="4"/>
    </row>
    <row r="671" spans="1:15" ht="20.25" customHeight="1">
      <c r="A671" s="106"/>
      <c r="B671" s="4"/>
      <c r="C671" s="4"/>
      <c r="D671" s="159" t="s">
        <v>287</v>
      </c>
      <c r="E671" s="161"/>
      <c r="F671" s="161"/>
      <c r="G671" s="79"/>
      <c r="H671" s="162" t="s">
        <v>22</v>
      </c>
      <c r="I671" s="161"/>
      <c r="J671" s="163"/>
      <c r="K671" s="164"/>
      <c r="L671" s="4"/>
      <c r="M671" s="4"/>
      <c r="N671" s="4"/>
    </row>
    <row r="672" spans="1:15" ht="20.25" customHeight="1">
      <c r="A672" s="106"/>
      <c r="B672" s="4"/>
      <c r="C672" s="4"/>
      <c r="E672" s="165"/>
      <c r="F672" s="165"/>
      <c r="G672" s="689" t="s">
        <v>23</v>
      </c>
      <c r="H672" s="166" t="s">
        <v>24</v>
      </c>
      <c r="I672" s="165"/>
      <c r="J672" s="167"/>
      <c r="K672" s="168" t="s">
        <v>269</v>
      </c>
      <c r="L672" s="4"/>
      <c r="M672" s="4"/>
      <c r="N672" s="4"/>
    </row>
    <row r="673" spans="1:14" ht="20.25" customHeight="1">
      <c r="A673" s="106"/>
      <c r="B673" s="4"/>
      <c r="C673" s="4"/>
      <c r="D673" s="169"/>
      <c r="E673" s="165" t="s">
        <v>25</v>
      </c>
      <c r="F673" s="165" t="s">
        <v>26</v>
      </c>
      <c r="G673" s="688" t="s">
        <v>27</v>
      </c>
      <c r="H673" s="166" t="s">
        <v>28</v>
      </c>
      <c r="I673" s="165" t="s">
        <v>29</v>
      </c>
      <c r="J673" s="167"/>
      <c r="K673" s="170" t="s">
        <v>288</v>
      </c>
      <c r="L673" s="4"/>
      <c r="M673" s="4"/>
      <c r="N673" s="4"/>
    </row>
    <row r="674" spans="1:14" ht="20.25" customHeight="1">
      <c r="A674" s="106"/>
      <c r="B674" s="4"/>
      <c r="C674" s="4"/>
      <c r="D674" s="159" t="s">
        <v>289</v>
      </c>
      <c r="E674" s="171" t="s">
        <v>31</v>
      </c>
      <c r="F674" s="171" t="s">
        <v>32</v>
      </c>
      <c r="G674" s="691" t="s">
        <v>33</v>
      </c>
      <c r="H674" s="172" t="s">
        <v>34</v>
      </c>
      <c r="I674" s="171" t="s">
        <v>35</v>
      </c>
      <c r="J674" s="171" t="s">
        <v>36</v>
      </c>
      <c r="K674" s="173" t="s">
        <v>290</v>
      </c>
      <c r="L674" s="4"/>
      <c r="M674" s="4"/>
      <c r="N674" s="4"/>
    </row>
    <row r="675" spans="1:14" ht="20.25" customHeight="1">
      <c r="A675" s="106"/>
      <c r="B675" s="4"/>
      <c r="C675" s="4"/>
      <c r="D675" s="13" t="s">
        <v>99</v>
      </c>
      <c r="E675" s="4"/>
      <c r="F675" s="4"/>
      <c r="G675" s="4"/>
      <c r="H675" s="4"/>
      <c r="I675" s="4"/>
      <c r="J675" s="4"/>
      <c r="K675" s="4"/>
      <c r="L675" s="4"/>
      <c r="M675" s="106"/>
      <c r="N675" s="4"/>
    </row>
    <row r="676" spans="1:14" ht="20.25" customHeight="1">
      <c r="A676" s="106">
        <v>676</v>
      </c>
      <c r="B676" s="169"/>
      <c r="C676" s="174">
        <v>3401</v>
      </c>
      <c r="D676" s="149" t="s">
        <v>91</v>
      </c>
      <c r="E676" s="149">
        <f ca="1">schedule3_total!C15</f>
        <v>121000</v>
      </c>
      <c r="F676" s="149">
        <f ca="1">schedule3_total!D15</f>
        <v>142900</v>
      </c>
      <c r="G676" s="149">
        <f ca="1">schedule3_total!E15</f>
        <v>0</v>
      </c>
      <c r="H676" s="149">
        <f ca="1">schedule3_total!F15</f>
        <v>0</v>
      </c>
      <c r="I676" s="57"/>
      <c r="J676" s="149">
        <f ca="1">schedule3_total!H15</f>
        <v>263900</v>
      </c>
      <c r="K676" s="57"/>
      <c r="L676" s="4"/>
      <c r="M676" s="106"/>
      <c r="N676" s="4"/>
    </row>
    <row r="677" spans="1:14" ht="20.25" customHeight="1">
      <c r="A677" s="106">
        <v>677</v>
      </c>
      <c r="B677" s="169"/>
      <c r="C677" s="174">
        <v>3402</v>
      </c>
      <c r="D677" s="149" t="s">
        <v>84</v>
      </c>
      <c r="E677" s="149">
        <f ca="1">schedule3_total!C16</f>
        <v>0</v>
      </c>
      <c r="F677" s="149">
        <f ca="1">schedule3_total!D16</f>
        <v>57351</v>
      </c>
      <c r="G677" s="149">
        <f ca="1">schedule3_total!E16</f>
        <v>0</v>
      </c>
      <c r="H677" s="149">
        <f ca="1">schedule3_total!F16</f>
        <v>0</v>
      </c>
      <c r="I677" s="57"/>
      <c r="J677" s="149">
        <f ca="1">schedule3_total!H16</f>
        <v>57351</v>
      </c>
      <c r="K677" s="57"/>
      <c r="L677" s="4"/>
      <c r="M677" s="106"/>
      <c r="N677" s="4"/>
    </row>
    <row r="678" spans="1:14" ht="20.25" customHeight="1">
      <c r="A678" s="106">
        <v>678</v>
      </c>
      <c r="B678" s="169"/>
      <c r="C678" s="174">
        <v>3403</v>
      </c>
      <c r="D678" s="149" t="s">
        <v>85</v>
      </c>
      <c r="E678" s="149">
        <f ca="1">schedule3_total!C17</f>
        <v>0</v>
      </c>
      <c r="F678" s="149">
        <f ca="1">schedule3_total!D17</f>
        <v>0</v>
      </c>
      <c r="G678" s="149">
        <f ca="1">schedule3_total!E17</f>
        <v>0</v>
      </c>
      <c r="H678" s="149">
        <f ca="1">schedule3_total!F17</f>
        <v>0</v>
      </c>
      <c r="I678" s="57"/>
      <c r="J678" s="149">
        <f ca="1">schedule3_total!H17</f>
        <v>0</v>
      </c>
      <c r="K678" s="57"/>
      <c r="L678" s="4"/>
      <c r="M678" s="106"/>
      <c r="N678" s="4"/>
    </row>
    <row r="679" spans="1:14" ht="20.25" customHeight="1">
      <c r="A679" s="106">
        <v>679</v>
      </c>
      <c r="B679" s="169"/>
      <c r="C679" s="174">
        <v>3404</v>
      </c>
      <c r="D679" s="149" t="s">
        <v>86</v>
      </c>
      <c r="E679" s="149">
        <f ca="1">schedule3_total!C18</f>
        <v>0</v>
      </c>
      <c r="F679" s="149">
        <f ca="1">schedule3_total!D18</f>
        <v>29483</v>
      </c>
      <c r="G679" s="149">
        <f ca="1">schedule3_total!E18</f>
        <v>0</v>
      </c>
      <c r="H679" s="149">
        <f ca="1">schedule3_total!F18</f>
        <v>0</v>
      </c>
      <c r="I679" s="57"/>
      <c r="J679" s="149">
        <f ca="1">schedule3_total!H18</f>
        <v>29483</v>
      </c>
      <c r="K679" s="57"/>
      <c r="L679" s="4"/>
      <c r="M679" s="106"/>
      <c r="N679" s="4"/>
    </row>
    <row r="680" spans="1:14" ht="20.25" customHeight="1">
      <c r="A680" s="106">
        <v>680</v>
      </c>
      <c r="B680" s="169"/>
      <c r="C680" s="174">
        <v>3405</v>
      </c>
      <c r="D680" s="149" t="s">
        <v>87</v>
      </c>
      <c r="E680" s="149">
        <f ca="1">schedule3_total!C19</f>
        <v>32287</v>
      </c>
      <c r="F680" s="149">
        <f ca="1">schedule3_total!D19</f>
        <v>25612.17</v>
      </c>
      <c r="G680" s="149">
        <f ca="1">schedule3_total!E19</f>
        <v>0</v>
      </c>
      <c r="H680" s="149">
        <f ca="1">schedule3_total!F19</f>
        <v>0</v>
      </c>
      <c r="I680" s="57"/>
      <c r="J680" s="149">
        <f ca="1">schedule3_total!H19</f>
        <v>57899</v>
      </c>
      <c r="K680" s="57"/>
      <c r="L680" s="4"/>
      <c r="M680" s="106"/>
      <c r="N680" s="4"/>
    </row>
    <row r="681" spans="1:14" ht="20.25" customHeight="1">
      <c r="A681" s="106">
        <v>681</v>
      </c>
      <c r="B681" s="169"/>
      <c r="C681" s="174">
        <v>3406</v>
      </c>
      <c r="D681" s="149" t="s">
        <v>88</v>
      </c>
      <c r="E681" s="149">
        <f ca="1">schedule3_total!C20</f>
        <v>0</v>
      </c>
      <c r="F681" s="149">
        <f ca="1">schedule3_total!D20</f>
        <v>0</v>
      </c>
      <c r="G681" s="149">
        <f ca="1">schedule3_total!E20</f>
        <v>0</v>
      </c>
      <c r="H681" s="149">
        <f ca="1">schedule3_total!F20</f>
        <v>0</v>
      </c>
      <c r="I681" s="57"/>
      <c r="J681" s="149">
        <f ca="1">schedule3_total!H20</f>
        <v>0</v>
      </c>
      <c r="K681" s="57"/>
      <c r="L681" s="4"/>
      <c r="M681" s="106"/>
      <c r="N681" s="4"/>
    </row>
    <row r="682" spans="1:14" ht="20.25" customHeight="1">
      <c r="A682" s="106">
        <v>682</v>
      </c>
      <c r="B682" s="4"/>
      <c r="C682" s="174">
        <v>3409</v>
      </c>
      <c r="D682" s="175" t="s">
        <v>89</v>
      </c>
      <c r="E682" s="149">
        <f ca="1">schedule3_total!C21</f>
        <v>153287</v>
      </c>
      <c r="F682" s="149">
        <f ca="1">schedule3_total!D21</f>
        <v>255346</v>
      </c>
      <c r="G682" s="149">
        <f ca="1">schedule3_total!E21</f>
        <v>0</v>
      </c>
      <c r="H682" s="149">
        <f ca="1">schedule3_total!F21</f>
        <v>0</v>
      </c>
      <c r="I682" s="57"/>
      <c r="J682" s="149">
        <f ca="1">schedule3_total!H21</f>
        <v>408633</v>
      </c>
      <c r="K682" s="57"/>
      <c r="L682" s="4"/>
      <c r="M682" s="106"/>
      <c r="N682" s="4"/>
    </row>
    <row r="683" spans="1:14" ht="20.25" customHeight="1">
      <c r="A683" s="106"/>
      <c r="B683" s="4"/>
      <c r="C683" s="176"/>
      <c r="D683" s="177" t="s">
        <v>291</v>
      </c>
      <c r="E683" s="18"/>
      <c r="F683" s="18"/>
      <c r="G683" s="18"/>
      <c r="H683" s="18"/>
      <c r="I683" s="18"/>
      <c r="J683" s="18"/>
      <c r="K683" s="18"/>
      <c r="L683" s="4"/>
      <c r="M683" s="106"/>
      <c r="N683" s="4"/>
    </row>
    <row r="684" spans="1:14" ht="20.25" customHeight="1">
      <c r="A684" s="106">
        <v>684</v>
      </c>
      <c r="B684" s="169"/>
      <c r="C684" s="174">
        <v>3411</v>
      </c>
      <c r="D684" s="149" t="s">
        <v>91</v>
      </c>
      <c r="E684" s="149">
        <f ca="1">schedule3_total!C23</f>
        <v>0</v>
      </c>
      <c r="F684" s="149">
        <f ca="1">schedule3_total!D23</f>
        <v>0</v>
      </c>
      <c r="G684" s="149">
        <f ca="1">schedule3_total!E23</f>
        <v>0</v>
      </c>
      <c r="H684" s="149">
        <f ca="1">schedule3_total!F23</f>
        <v>0</v>
      </c>
      <c r="I684" s="57"/>
      <c r="J684" s="149">
        <f ca="1">schedule3_total!H23</f>
        <v>0</v>
      </c>
      <c r="K684" s="57"/>
      <c r="L684" s="4"/>
      <c r="M684" s="106"/>
      <c r="N684" s="4"/>
    </row>
    <row r="685" spans="1:14" ht="20.25" customHeight="1">
      <c r="A685" s="106">
        <v>685</v>
      </c>
      <c r="B685" s="169"/>
      <c r="C685" s="174">
        <v>3412</v>
      </c>
      <c r="D685" s="149" t="s">
        <v>84</v>
      </c>
      <c r="E685" s="149">
        <f ca="1">schedule3_total!C24</f>
        <v>0</v>
      </c>
      <c r="F685" s="149">
        <f ca="1">schedule3_total!D24</f>
        <v>0</v>
      </c>
      <c r="G685" s="149">
        <f ca="1">schedule3_total!E24</f>
        <v>0</v>
      </c>
      <c r="H685" s="149">
        <f ca="1">schedule3_total!F24</f>
        <v>0</v>
      </c>
      <c r="I685" s="57"/>
      <c r="J685" s="149">
        <f ca="1">schedule3_total!H24</f>
        <v>0</v>
      </c>
      <c r="K685" s="57"/>
      <c r="L685" s="4"/>
      <c r="M685" s="106"/>
      <c r="N685" s="4"/>
    </row>
    <row r="686" spans="1:14" ht="20.25" customHeight="1">
      <c r="A686" s="106">
        <v>686</v>
      </c>
      <c r="B686" s="169"/>
      <c r="C686" s="174">
        <v>3413</v>
      </c>
      <c r="D686" s="149" t="s">
        <v>85</v>
      </c>
      <c r="E686" s="149">
        <f ca="1">schedule3_total!C25</f>
        <v>0</v>
      </c>
      <c r="F686" s="149">
        <f ca="1">schedule3_total!D25</f>
        <v>0</v>
      </c>
      <c r="G686" s="149">
        <f ca="1">schedule3_total!E25</f>
        <v>0</v>
      </c>
      <c r="H686" s="149">
        <f ca="1">schedule3_total!F25</f>
        <v>0</v>
      </c>
      <c r="I686" s="57"/>
      <c r="J686" s="149">
        <f ca="1">schedule3_total!H25</f>
        <v>0</v>
      </c>
      <c r="K686" s="57"/>
      <c r="L686" s="4"/>
      <c r="M686" s="106"/>
      <c r="N686" s="4"/>
    </row>
    <row r="687" spans="1:14" ht="20.25" customHeight="1">
      <c r="A687" s="106">
        <v>687</v>
      </c>
      <c r="B687" s="169"/>
      <c r="C687" s="174">
        <v>3414</v>
      </c>
      <c r="D687" s="149" t="s">
        <v>86</v>
      </c>
      <c r="E687" s="149">
        <f ca="1">schedule3_total!C26</f>
        <v>0</v>
      </c>
      <c r="F687" s="149">
        <f ca="1">schedule3_total!D26</f>
        <v>0</v>
      </c>
      <c r="G687" s="149">
        <f ca="1">schedule3_total!E26</f>
        <v>0</v>
      </c>
      <c r="H687" s="149">
        <f ca="1">schedule3_total!F26</f>
        <v>0</v>
      </c>
      <c r="I687" s="57"/>
      <c r="J687" s="149">
        <f ca="1">schedule3_total!H26</f>
        <v>0</v>
      </c>
      <c r="K687" s="57"/>
      <c r="L687" s="4"/>
      <c r="M687" s="106"/>
      <c r="N687" s="4"/>
    </row>
    <row r="688" spans="1:14" ht="20.25" customHeight="1">
      <c r="A688" s="106">
        <v>688</v>
      </c>
      <c r="B688" s="169"/>
      <c r="C688" s="174">
        <v>3415</v>
      </c>
      <c r="D688" s="149" t="s">
        <v>87</v>
      </c>
      <c r="E688" s="149">
        <f ca="1">schedule3_total!C27</f>
        <v>0</v>
      </c>
      <c r="F688" s="149">
        <f ca="1">schedule3_total!D27</f>
        <v>0</v>
      </c>
      <c r="G688" s="149">
        <f ca="1">schedule3_total!E27</f>
        <v>0</v>
      </c>
      <c r="H688" s="149">
        <f ca="1">schedule3_total!F27</f>
        <v>0</v>
      </c>
      <c r="I688" s="57"/>
      <c r="J688" s="149">
        <f ca="1">schedule3_total!H27</f>
        <v>0</v>
      </c>
      <c r="K688" s="57"/>
      <c r="L688" s="4"/>
      <c r="M688" s="106"/>
      <c r="N688" s="4"/>
    </row>
    <row r="689" spans="1:14" ht="20.25" customHeight="1">
      <c r="A689" s="106">
        <v>689</v>
      </c>
      <c r="B689" s="169"/>
      <c r="C689" s="174">
        <v>3416</v>
      </c>
      <c r="D689" s="149" t="s">
        <v>88</v>
      </c>
      <c r="E689" s="149">
        <f ca="1">schedule3_total!C28</f>
        <v>0</v>
      </c>
      <c r="F689" s="149">
        <f ca="1">schedule3_total!D28</f>
        <v>0</v>
      </c>
      <c r="G689" s="149">
        <f ca="1">schedule3_total!E28</f>
        <v>0</v>
      </c>
      <c r="H689" s="149">
        <f ca="1">schedule3_total!F28</f>
        <v>0</v>
      </c>
      <c r="I689" s="57"/>
      <c r="J689" s="149">
        <f ca="1">schedule3_total!H28</f>
        <v>0</v>
      </c>
      <c r="K689" s="57"/>
      <c r="L689" s="4"/>
      <c r="M689" s="106"/>
      <c r="N689" s="4"/>
    </row>
    <row r="690" spans="1:14" ht="20.25" customHeight="1">
      <c r="A690" s="106">
        <v>690</v>
      </c>
      <c r="B690" s="4"/>
      <c r="C690" s="174">
        <v>3419</v>
      </c>
      <c r="D690" s="175" t="s">
        <v>89</v>
      </c>
      <c r="E690" s="149">
        <f ca="1">schedule3_total!C29</f>
        <v>0</v>
      </c>
      <c r="F690" s="149">
        <f ca="1">schedule3_total!D29</f>
        <v>0</v>
      </c>
      <c r="G690" s="149">
        <f ca="1">schedule3_total!E29</f>
        <v>0</v>
      </c>
      <c r="H690" s="149">
        <f ca="1">schedule3_total!F29</f>
        <v>0</v>
      </c>
      <c r="I690" s="57"/>
      <c r="J690" s="149">
        <f ca="1">schedule3_total!H29</f>
        <v>0</v>
      </c>
      <c r="K690" s="57"/>
      <c r="L690" s="4"/>
      <c r="M690" s="106"/>
      <c r="N690" s="4"/>
    </row>
    <row r="691" spans="1:14" ht="20.25" customHeight="1">
      <c r="A691" s="106"/>
      <c r="B691" s="4"/>
      <c r="C691" s="353"/>
      <c r="D691" s="13" t="s">
        <v>102</v>
      </c>
      <c r="E691" s="4"/>
      <c r="F691" s="4"/>
      <c r="G691" s="4"/>
      <c r="H691" s="4"/>
      <c r="I691" s="4"/>
      <c r="J691" s="4"/>
      <c r="K691" s="30"/>
      <c r="L691" s="4"/>
      <c r="M691" s="106"/>
      <c r="N691" s="4"/>
    </row>
    <row r="692" spans="1:14" ht="20.25" customHeight="1">
      <c r="A692" s="106">
        <v>692</v>
      </c>
      <c r="B692" s="4"/>
      <c r="C692" s="314">
        <v>3421</v>
      </c>
      <c r="D692" s="59" t="s">
        <v>91</v>
      </c>
      <c r="E692" s="149">
        <f ca="1">schedule3_total!C31</f>
        <v>0</v>
      </c>
      <c r="F692" s="149">
        <f ca="1">schedule3_total!D31</f>
        <v>0</v>
      </c>
      <c r="G692" s="149">
        <f ca="1">schedule3_total!E31</f>
        <v>0</v>
      </c>
      <c r="H692" s="149">
        <f ca="1">schedule3_total!F31</f>
        <v>0</v>
      </c>
      <c r="I692" s="57"/>
      <c r="J692" s="149">
        <f ca="1">schedule3_total!H31</f>
        <v>0</v>
      </c>
      <c r="K692" s="57"/>
      <c r="L692" s="4"/>
      <c r="M692" s="106"/>
      <c r="N692" s="4"/>
    </row>
    <row r="693" spans="1:14" ht="20.25" customHeight="1">
      <c r="A693" s="106">
        <v>693</v>
      </c>
      <c r="B693" s="4"/>
      <c r="C693" s="314">
        <v>3422</v>
      </c>
      <c r="D693" s="59" t="s">
        <v>84</v>
      </c>
      <c r="E693" s="149">
        <f ca="1">schedule3_total!C32</f>
        <v>0</v>
      </c>
      <c r="F693" s="149">
        <f ca="1">schedule3_total!D32</f>
        <v>0</v>
      </c>
      <c r="G693" s="149">
        <f ca="1">schedule3_total!E32</f>
        <v>0</v>
      </c>
      <c r="H693" s="149">
        <f ca="1">schedule3_total!F32</f>
        <v>0</v>
      </c>
      <c r="I693" s="57"/>
      <c r="J693" s="149">
        <f ca="1">schedule3_total!H32</f>
        <v>0</v>
      </c>
      <c r="K693" s="57"/>
      <c r="L693" s="4"/>
      <c r="M693" s="106"/>
      <c r="N693" s="4"/>
    </row>
    <row r="694" spans="1:14" ht="20.25" customHeight="1">
      <c r="A694" s="106">
        <v>694</v>
      </c>
      <c r="B694" s="4"/>
      <c r="C694" s="314">
        <v>3423</v>
      </c>
      <c r="D694" s="59" t="s">
        <v>85</v>
      </c>
      <c r="E694" s="149">
        <f ca="1">schedule3_total!C33</f>
        <v>0</v>
      </c>
      <c r="F694" s="149">
        <f ca="1">schedule3_total!D33</f>
        <v>0</v>
      </c>
      <c r="G694" s="149">
        <f ca="1">schedule3_total!E33</f>
        <v>0</v>
      </c>
      <c r="H694" s="149">
        <f ca="1">schedule3_total!F33</f>
        <v>0</v>
      </c>
      <c r="I694" s="57"/>
      <c r="J694" s="149">
        <f ca="1">schedule3_total!H33</f>
        <v>0</v>
      </c>
      <c r="K694" s="57"/>
      <c r="L694" s="4" t="s">
        <v>100</v>
      </c>
      <c r="M694" s="106"/>
      <c r="N694" s="4"/>
    </row>
    <row r="695" spans="1:14" ht="20.25" customHeight="1">
      <c r="A695" s="106">
        <v>695</v>
      </c>
      <c r="B695" s="4"/>
      <c r="C695" s="314">
        <v>3424</v>
      </c>
      <c r="D695" s="59" t="s">
        <v>86</v>
      </c>
      <c r="E695" s="149">
        <f ca="1">schedule3_total!C34</f>
        <v>0</v>
      </c>
      <c r="F695" s="149">
        <f ca="1">schedule3_total!D34</f>
        <v>0</v>
      </c>
      <c r="G695" s="149">
        <f ca="1">schedule3_total!E34</f>
        <v>0</v>
      </c>
      <c r="H695" s="149">
        <f ca="1">schedule3_total!F34</f>
        <v>0</v>
      </c>
      <c r="I695" s="57"/>
      <c r="J695" s="149">
        <f ca="1">schedule3_total!H34</f>
        <v>0</v>
      </c>
      <c r="K695" s="57"/>
      <c r="L695" s="4"/>
      <c r="M695" s="106"/>
      <c r="N695" s="4"/>
    </row>
    <row r="696" spans="1:14" ht="20.25" customHeight="1">
      <c r="A696" s="106">
        <v>696</v>
      </c>
      <c r="B696" s="4"/>
      <c r="C696" s="314">
        <v>3425</v>
      </c>
      <c r="D696" s="59" t="s">
        <v>87</v>
      </c>
      <c r="E696" s="149">
        <f ca="1">schedule3_total!C35</f>
        <v>0</v>
      </c>
      <c r="F696" s="149">
        <f ca="1">schedule3_total!D35</f>
        <v>0</v>
      </c>
      <c r="G696" s="149">
        <f ca="1">schedule3_total!E35</f>
        <v>0</v>
      </c>
      <c r="H696" s="149">
        <f ca="1">schedule3_total!F35</f>
        <v>0</v>
      </c>
      <c r="I696" s="57"/>
      <c r="J696" s="149">
        <f ca="1">schedule3_total!H35</f>
        <v>0</v>
      </c>
      <c r="K696" s="57"/>
      <c r="L696" s="4"/>
      <c r="M696" s="106"/>
      <c r="N696" s="4"/>
    </row>
    <row r="697" spans="1:14" ht="20.25" customHeight="1">
      <c r="A697" s="106">
        <v>697</v>
      </c>
      <c r="B697" s="4"/>
      <c r="C697" s="314">
        <v>3426</v>
      </c>
      <c r="D697" s="59" t="s">
        <v>88</v>
      </c>
      <c r="E697" s="149">
        <f ca="1">schedule3_total!C36</f>
        <v>0</v>
      </c>
      <c r="F697" s="149">
        <f ca="1">schedule3_total!D36</f>
        <v>0</v>
      </c>
      <c r="G697" s="149">
        <f ca="1">schedule3_total!E36</f>
        <v>0</v>
      </c>
      <c r="H697" s="149">
        <f ca="1">schedule3_total!F36</f>
        <v>0</v>
      </c>
      <c r="I697" s="57"/>
      <c r="J697" s="149">
        <f ca="1">schedule3_total!H36</f>
        <v>0</v>
      </c>
      <c r="K697" s="57"/>
      <c r="L697" s="4"/>
      <c r="M697" s="106"/>
      <c r="N697" s="4"/>
    </row>
    <row r="698" spans="1:14" ht="20.25" customHeight="1">
      <c r="A698" s="106">
        <v>698</v>
      </c>
      <c r="B698" s="4"/>
      <c r="C698" s="314">
        <v>3427</v>
      </c>
      <c r="D698" s="307" t="s">
        <v>89</v>
      </c>
      <c r="E698" s="149">
        <f ca="1">schedule3_total!C37</f>
        <v>0</v>
      </c>
      <c r="F698" s="149">
        <f ca="1">schedule3_total!D37</f>
        <v>0</v>
      </c>
      <c r="G698" s="149">
        <f ca="1">schedule3_total!E37</f>
        <v>0</v>
      </c>
      <c r="H698" s="149">
        <f ca="1">schedule3_total!F37</f>
        <v>0</v>
      </c>
      <c r="I698" s="57"/>
      <c r="J698" s="149">
        <f ca="1">schedule3_total!H37</f>
        <v>0</v>
      </c>
      <c r="K698" s="57"/>
      <c r="L698" s="4"/>
      <c r="M698" s="106"/>
      <c r="N698" s="4"/>
    </row>
    <row r="699" spans="1:14" ht="20.25" customHeight="1">
      <c r="A699" s="106"/>
      <c r="B699" s="4"/>
      <c r="C699" s="176"/>
      <c r="D699" s="177" t="s">
        <v>103</v>
      </c>
      <c r="E699" s="18"/>
      <c r="F699" s="18"/>
      <c r="G699" s="18"/>
      <c r="H699" s="18"/>
      <c r="I699" s="18"/>
      <c r="J699" s="18"/>
      <c r="K699" s="18"/>
      <c r="L699" s="4"/>
      <c r="M699" s="106"/>
      <c r="N699" s="4"/>
    </row>
    <row r="700" spans="1:14" ht="20.25" customHeight="1">
      <c r="A700" s="106">
        <v>700</v>
      </c>
      <c r="B700" s="169"/>
      <c r="C700" s="174">
        <v>3428</v>
      </c>
      <c r="D700" s="149" t="s">
        <v>91</v>
      </c>
      <c r="E700" s="57"/>
      <c r="F700" s="57"/>
      <c r="G700" s="57"/>
      <c r="H700" s="57"/>
      <c r="I700" s="149">
        <f ca="1">schedule3_total!G39</f>
        <v>0</v>
      </c>
      <c r="J700" s="149">
        <f ca="1">schedule3_total!H39</f>
        <v>0</v>
      </c>
      <c r="K700" s="57"/>
      <c r="L700" s="4"/>
      <c r="M700" s="106"/>
      <c r="N700" s="4"/>
    </row>
    <row r="701" spans="1:14" ht="20.25" customHeight="1">
      <c r="A701" s="106">
        <v>701</v>
      </c>
      <c r="B701" s="169"/>
      <c r="C701" s="174">
        <v>3429</v>
      </c>
      <c r="D701" s="149" t="s">
        <v>84</v>
      </c>
      <c r="E701" s="57"/>
      <c r="F701" s="57"/>
      <c r="G701" s="57"/>
      <c r="H701" s="57"/>
      <c r="I701" s="149">
        <f ca="1">schedule3_total!G40</f>
        <v>0</v>
      </c>
      <c r="J701" s="149">
        <f ca="1">schedule3_total!H40</f>
        <v>0</v>
      </c>
      <c r="K701" s="57"/>
      <c r="L701" s="4"/>
      <c r="M701" s="106"/>
      <c r="N701" s="4"/>
    </row>
    <row r="702" spans="1:14" ht="20.25" customHeight="1">
      <c r="A702" s="106">
        <v>702</v>
      </c>
      <c r="B702" s="169"/>
      <c r="C702" s="174">
        <v>3430</v>
      </c>
      <c r="D702" s="149" t="s">
        <v>85</v>
      </c>
      <c r="E702" s="57"/>
      <c r="F702" s="57"/>
      <c r="G702" s="57"/>
      <c r="H702" s="57"/>
      <c r="I702" s="149">
        <f ca="1">schedule3_total!G41</f>
        <v>0</v>
      </c>
      <c r="J702" s="149">
        <f ca="1">schedule3_total!H41</f>
        <v>0</v>
      </c>
      <c r="K702" s="57"/>
      <c r="L702" s="4"/>
      <c r="M702" s="106"/>
      <c r="N702" s="4"/>
    </row>
    <row r="703" spans="1:14" ht="20.25" customHeight="1">
      <c r="A703" s="106">
        <v>703</v>
      </c>
      <c r="B703" s="169"/>
      <c r="C703" s="174">
        <v>3431</v>
      </c>
      <c r="D703" s="149" t="s">
        <v>86</v>
      </c>
      <c r="E703" s="57"/>
      <c r="F703" s="57"/>
      <c r="G703" s="57"/>
      <c r="H703" s="57"/>
      <c r="I703" s="149">
        <f ca="1">schedule3_total!G42</f>
        <v>0</v>
      </c>
      <c r="J703" s="149">
        <f ca="1">schedule3_total!H42</f>
        <v>0</v>
      </c>
      <c r="K703" s="57"/>
      <c r="L703" s="4"/>
      <c r="M703" s="106"/>
      <c r="N703" s="4"/>
    </row>
    <row r="704" spans="1:14" ht="20.25" customHeight="1">
      <c r="A704" s="106">
        <v>704</v>
      </c>
      <c r="B704" s="169"/>
      <c r="C704" s="174">
        <v>3432</v>
      </c>
      <c r="D704" s="149" t="s">
        <v>87</v>
      </c>
      <c r="E704" s="57"/>
      <c r="F704" s="57"/>
      <c r="G704" s="57"/>
      <c r="H704" s="57"/>
      <c r="I704" s="149">
        <f ca="1">schedule3_total!G43</f>
        <v>0</v>
      </c>
      <c r="J704" s="149">
        <f ca="1">schedule3_total!H43</f>
        <v>0</v>
      </c>
      <c r="K704" s="57"/>
      <c r="L704" s="4"/>
      <c r="M704" s="106"/>
      <c r="N704" s="4"/>
    </row>
    <row r="705" spans="1:14" ht="20.25" customHeight="1">
      <c r="A705" s="106">
        <v>705</v>
      </c>
      <c r="B705" s="169"/>
      <c r="C705" s="174">
        <v>3433</v>
      </c>
      <c r="D705" s="149" t="s">
        <v>88</v>
      </c>
      <c r="E705" s="57"/>
      <c r="F705" s="57"/>
      <c r="G705" s="57"/>
      <c r="H705" s="57"/>
      <c r="I705" s="149">
        <f ca="1">schedule3_total!G44</f>
        <v>0</v>
      </c>
      <c r="J705" s="149">
        <f ca="1">schedule3_total!H44</f>
        <v>0</v>
      </c>
      <c r="K705" s="57"/>
      <c r="L705" s="4"/>
      <c r="M705" s="106"/>
      <c r="N705" s="4"/>
    </row>
    <row r="706" spans="1:14" ht="20.25" customHeight="1">
      <c r="A706" s="106">
        <v>706</v>
      </c>
      <c r="B706" s="4"/>
      <c r="C706" s="174">
        <v>3434</v>
      </c>
      <c r="D706" s="175" t="s">
        <v>89</v>
      </c>
      <c r="E706" s="57"/>
      <c r="F706" s="57"/>
      <c r="G706" s="57"/>
      <c r="H706" s="57"/>
      <c r="I706" s="149">
        <f ca="1">schedule3_total!G45</f>
        <v>0</v>
      </c>
      <c r="J706" s="149">
        <f ca="1">schedule3_total!H45</f>
        <v>0</v>
      </c>
      <c r="K706" s="57"/>
      <c r="L706" s="4"/>
      <c r="M706" s="106"/>
      <c r="N706" s="4"/>
    </row>
    <row r="707" spans="1:14" ht="20.25" customHeight="1">
      <c r="A707" s="106"/>
      <c r="B707" s="4"/>
      <c r="C707" s="176"/>
      <c r="D707" s="13" t="s">
        <v>104</v>
      </c>
      <c r="E707" s="18"/>
      <c r="F707" s="18"/>
      <c r="G707" s="18"/>
      <c r="H707" s="18"/>
      <c r="I707" s="18"/>
      <c r="J707" s="18"/>
      <c r="K707" s="18"/>
      <c r="L707" s="4"/>
      <c r="M707" s="106"/>
      <c r="N707" s="4"/>
    </row>
    <row r="708" spans="1:14" ht="20.25" customHeight="1">
      <c r="A708" s="106">
        <v>708</v>
      </c>
      <c r="B708" s="169"/>
      <c r="C708" s="174">
        <v>3444</v>
      </c>
      <c r="D708" s="149" t="s">
        <v>86</v>
      </c>
      <c r="E708" s="149">
        <f ca="1">schedule3_total!C47</f>
        <v>0</v>
      </c>
      <c r="F708" s="149">
        <f ca="1">schedule3_total!D47</f>
        <v>0</v>
      </c>
      <c r="G708" s="149">
        <f ca="1">schedule3_total!E47</f>
        <v>0</v>
      </c>
      <c r="H708" s="149">
        <f ca="1">schedule3_total!F47</f>
        <v>0</v>
      </c>
      <c r="I708" s="57"/>
      <c r="J708" s="149">
        <f ca="1">schedule3_total!H47</f>
        <v>0</v>
      </c>
      <c r="K708" s="57"/>
      <c r="L708" s="4"/>
      <c r="M708" s="106"/>
      <c r="N708" s="4"/>
    </row>
    <row r="709" spans="1:14" ht="20.25" customHeight="1">
      <c r="A709" s="106">
        <v>709</v>
      </c>
      <c r="B709" s="169"/>
      <c r="C709" s="174">
        <v>3445</v>
      </c>
      <c r="D709" s="149" t="s">
        <v>87</v>
      </c>
      <c r="E709" s="149">
        <f ca="1">schedule3_total!C48</f>
        <v>0</v>
      </c>
      <c r="F709" s="149">
        <f ca="1">schedule3_total!D48</f>
        <v>0</v>
      </c>
      <c r="G709" s="149">
        <f ca="1">schedule3_total!E48</f>
        <v>0</v>
      </c>
      <c r="H709" s="149">
        <f ca="1">schedule3_total!F48</f>
        <v>0</v>
      </c>
      <c r="I709" s="57"/>
      <c r="J709" s="149">
        <f ca="1">schedule3_total!H48</f>
        <v>0</v>
      </c>
      <c r="K709" s="57"/>
      <c r="L709" s="4" t="s">
        <v>100</v>
      </c>
      <c r="M709" s="106"/>
      <c r="N709" s="4"/>
    </row>
    <row r="710" spans="1:14" ht="20.25" customHeight="1">
      <c r="A710" s="106">
        <v>710</v>
      </c>
      <c r="B710" s="169"/>
      <c r="C710" s="174">
        <v>3446</v>
      </c>
      <c r="D710" s="149" t="s">
        <v>88</v>
      </c>
      <c r="E710" s="149">
        <f ca="1">schedule3_total!C49</f>
        <v>0</v>
      </c>
      <c r="F710" s="149">
        <f ca="1">schedule3_total!D49</f>
        <v>0</v>
      </c>
      <c r="G710" s="149">
        <f ca="1">schedule3_total!E49</f>
        <v>0</v>
      </c>
      <c r="H710" s="149">
        <f ca="1">schedule3_total!F49</f>
        <v>0</v>
      </c>
      <c r="I710" s="57"/>
      <c r="J710" s="149">
        <f ca="1">schedule3_total!H49</f>
        <v>0</v>
      </c>
      <c r="K710" s="57"/>
      <c r="L710" s="4"/>
      <c r="M710" s="106"/>
      <c r="N710" s="4"/>
    </row>
    <row r="711" spans="1:14" ht="20.25" customHeight="1">
      <c r="A711" s="106">
        <v>711</v>
      </c>
      <c r="B711" s="4"/>
      <c r="C711" s="174">
        <v>3449</v>
      </c>
      <c r="D711" s="175" t="s">
        <v>89</v>
      </c>
      <c r="E711" s="149">
        <f ca="1">schedule3_total!C50</f>
        <v>0</v>
      </c>
      <c r="F711" s="149">
        <f ca="1">schedule3_total!D50</f>
        <v>0</v>
      </c>
      <c r="G711" s="149">
        <f ca="1">schedule3_total!E50</f>
        <v>0</v>
      </c>
      <c r="H711" s="149">
        <f ca="1">schedule3_total!F50</f>
        <v>0</v>
      </c>
      <c r="I711" s="57"/>
      <c r="J711" s="149">
        <f ca="1">schedule3_total!H50</f>
        <v>0</v>
      </c>
      <c r="K711" s="57"/>
      <c r="L711" s="4"/>
      <c r="M711" s="106"/>
      <c r="N711" s="4"/>
    </row>
    <row r="712" spans="1:14" ht="20.25" customHeight="1">
      <c r="A712" s="106"/>
      <c r="B712" s="4"/>
      <c r="C712" s="176"/>
      <c r="D712" s="177" t="s">
        <v>105</v>
      </c>
      <c r="E712" s="18"/>
      <c r="F712" s="18"/>
      <c r="G712" s="18"/>
      <c r="H712" s="18"/>
      <c r="I712" s="18"/>
      <c r="J712" s="18"/>
      <c r="K712" s="18"/>
      <c r="L712" s="4"/>
      <c r="M712" s="106"/>
      <c r="N712" s="4"/>
    </row>
    <row r="713" spans="1:14" ht="20.25" customHeight="1">
      <c r="A713" s="106">
        <v>713</v>
      </c>
      <c r="B713" s="169"/>
      <c r="C713" s="174">
        <v>3450</v>
      </c>
      <c r="D713" s="149" t="s">
        <v>91</v>
      </c>
      <c r="E713" s="149">
        <f ca="1">schedule3_total!C52</f>
        <v>7778201.3600000003</v>
      </c>
      <c r="F713" s="149">
        <f ca="1">schedule3_total!D52</f>
        <v>2082829.1</v>
      </c>
      <c r="G713" s="149">
        <f ca="1">schedule3_total!E52</f>
        <v>0</v>
      </c>
      <c r="H713" s="149">
        <f ca="1">schedule3_total!F52</f>
        <v>0</v>
      </c>
      <c r="I713" s="57"/>
      <c r="J713" s="149">
        <f ca="1">schedule3_total!H52</f>
        <v>9861030</v>
      </c>
      <c r="K713" s="57"/>
      <c r="L713" s="4"/>
      <c r="M713" s="106"/>
      <c r="N713" s="4"/>
    </row>
    <row r="714" spans="1:14" ht="20.25" customHeight="1">
      <c r="A714" s="106"/>
      <c r="B714" s="4"/>
      <c r="C714" s="176"/>
      <c r="D714" s="177" t="s">
        <v>106</v>
      </c>
      <c r="E714" s="18"/>
      <c r="F714" s="18"/>
      <c r="G714" s="18"/>
      <c r="H714" s="18"/>
      <c r="I714" s="18"/>
      <c r="J714" s="18"/>
      <c r="K714" s="18"/>
      <c r="L714" s="4"/>
      <c r="M714" s="106"/>
      <c r="N714" s="4"/>
    </row>
    <row r="715" spans="1:14" ht="20.25" customHeight="1">
      <c r="A715" s="106">
        <v>715</v>
      </c>
      <c r="B715" s="169"/>
      <c r="C715" s="221">
        <v>3452</v>
      </c>
      <c r="D715" s="149" t="s">
        <v>91</v>
      </c>
      <c r="E715" s="59">
        <f ca="1">schedule3_total!C54</f>
        <v>0</v>
      </c>
      <c r="F715" s="59">
        <f ca="1">schedule3_total!D54</f>
        <v>623927.54</v>
      </c>
      <c r="G715" s="59">
        <f ca="1">schedule3_total!E54</f>
        <v>0</v>
      </c>
      <c r="H715" s="59">
        <f ca="1">schedule3_total!F54</f>
        <v>0</v>
      </c>
      <c r="I715" s="57"/>
      <c r="J715" s="149">
        <f ca="1">schedule3_total!H54</f>
        <v>623928</v>
      </c>
      <c r="K715" s="57"/>
      <c r="L715" s="4"/>
      <c r="M715" s="106"/>
      <c r="N715" s="4"/>
    </row>
    <row r="716" spans="1:14" ht="20.25" customHeight="1">
      <c r="A716" s="106">
        <v>716</v>
      </c>
      <c r="B716" s="169"/>
      <c r="C716" s="221">
        <v>3453</v>
      </c>
      <c r="D716" s="149" t="s">
        <v>84</v>
      </c>
      <c r="E716" s="59">
        <f ca="1">schedule3_total!C55</f>
        <v>0</v>
      </c>
      <c r="F716" s="59">
        <f ca="1">schedule3_total!D55</f>
        <v>0</v>
      </c>
      <c r="G716" s="59">
        <f ca="1">schedule3_total!E55</f>
        <v>0</v>
      </c>
      <c r="H716" s="59">
        <f ca="1">schedule3_total!F55</f>
        <v>0</v>
      </c>
      <c r="I716" s="57"/>
      <c r="J716" s="149">
        <f ca="1">schedule3_total!H55</f>
        <v>0</v>
      </c>
      <c r="K716" s="57"/>
      <c r="L716" s="4"/>
      <c r="M716" s="106"/>
      <c r="N716" s="4"/>
    </row>
    <row r="717" spans="1:14" ht="20.25" customHeight="1">
      <c r="A717" s="106">
        <v>717</v>
      </c>
      <c r="B717" s="169"/>
      <c r="C717" s="221">
        <v>3454</v>
      </c>
      <c r="D717" s="149" t="s">
        <v>85</v>
      </c>
      <c r="E717" s="59">
        <f ca="1">schedule3_total!C56</f>
        <v>0</v>
      </c>
      <c r="F717" s="59">
        <f ca="1">schedule3_total!D56</f>
        <v>0</v>
      </c>
      <c r="G717" s="59">
        <f ca="1">schedule3_total!E56</f>
        <v>0</v>
      </c>
      <c r="H717" s="59">
        <f ca="1">schedule3_total!F56</f>
        <v>0</v>
      </c>
      <c r="I717" s="57"/>
      <c r="J717" s="149">
        <f ca="1">schedule3_total!H56</f>
        <v>0</v>
      </c>
      <c r="K717" s="57"/>
      <c r="L717" s="4"/>
      <c r="M717" s="106"/>
      <c r="N717" s="4"/>
    </row>
    <row r="718" spans="1:14" ht="20.25" customHeight="1">
      <c r="A718" s="106">
        <v>718</v>
      </c>
      <c r="B718" s="169"/>
      <c r="C718" s="221">
        <v>3455</v>
      </c>
      <c r="D718" s="149" t="s">
        <v>86</v>
      </c>
      <c r="E718" s="59">
        <f ca="1">schedule3_total!C57</f>
        <v>0</v>
      </c>
      <c r="F718" s="59">
        <f ca="1">schedule3_total!D57</f>
        <v>0</v>
      </c>
      <c r="G718" s="59">
        <f ca="1">schedule3_total!E57</f>
        <v>0</v>
      </c>
      <c r="H718" s="59">
        <f ca="1">schedule3_total!F57</f>
        <v>0</v>
      </c>
      <c r="I718" s="57"/>
      <c r="J718" s="149">
        <f ca="1">schedule3_total!H57</f>
        <v>0</v>
      </c>
      <c r="K718" s="57"/>
      <c r="L718" s="4"/>
      <c r="M718" s="106"/>
      <c r="N718" s="4"/>
    </row>
    <row r="719" spans="1:14" ht="20.25" customHeight="1">
      <c r="A719" s="106">
        <v>719</v>
      </c>
      <c r="B719" s="4" t="s">
        <v>107</v>
      </c>
      <c r="C719" s="221">
        <v>3456</v>
      </c>
      <c r="D719" s="149" t="s">
        <v>87</v>
      </c>
      <c r="E719" s="59">
        <f ca="1">schedule3_total!C58</f>
        <v>0</v>
      </c>
      <c r="F719" s="59">
        <f ca="1">schedule3_total!D58</f>
        <v>0</v>
      </c>
      <c r="G719" s="59">
        <f ca="1">schedule3_total!E58</f>
        <v>0</v>
      </c>
      <c r="H719" s="59">
        <f ca="1">schedule3_total!F58</f>
        <v>0</v>
      </c>
      <c r="I719" s="57"/>
      <c r="J719" s="149">
        <f ca="1">schedule3_total!H58</f>
        <v>0</v>
      </c>
      <c r="K719" s="180"/>
      <c r="L719" s="4"/>
      <c r="M719" s="106"/>
      <c r="N719" s="4"/>
    </row>
    <row r="720" spans="1:14" ht="20.25" customHeight="1">
      <c r="A720" s="106">
        <v>720</v>
      </c>
      <c r="B720" s="4" t="s">
        <v>107</v>
      </c>
      <c r="C720" s="221">
        <v>3457</v>
      </c>
      <c r="D720" s="149" t="s">
        <v>88</v>
      </c>
      <c r="E720" s="59">
        <f ca="1">schedule3_total!C59</f>
        <v>0</v>
      </c>
      <c r="F720" s="59">
        <f ca="1">schedule3_total!D59</f>
        <v>0</v>
      </c>
      <c r="G720" s="59">
        <f ca="1">schedule3_total!E59</f>
        <v>0</v>
      </c>
      <c r="H720" s="59">
        <f ca="1">schedule3_total!F59</f>
        <v>0</v>
      </c>
      <c r="I720" s="180"/>
      <c r="J720" s="149">
        <f ca="1">schedule3_total!H59</f>
        <v>0</v>
      </c>
      <c r="K720" s="180"/>
      <c r="L720" s="4"/>
      <c r="M720" s="106"/>
      <c r="N720" s="4"/>
    </row>
    <row r="721" spans="1:14" ht="20.25" customHeight="1">
      <c r="A721" s="106">
        <v>721</v>
      </c>
      <c r="B721" s="4"/>
      <c r="C721" s="223">
        <v>3459</v>
      </c>
      <c r="D721" s="179" t="s">
        <v>89</v>
      </c>
      <c r="E721" s="150">
        <f ca="1">schedule3_total!C60</f>
        <v>0</v>
      </c>
      <c r="F721" s="150">
        <f ca="1">schedule3_total!D60</f>
        <v>623928</v>
      </c>
      <c r="G721" s="150">
        <f ca="1">schedule3_total!E60</f>
        <v>0</v>
      </c>
      <c r="H721" s="150">
        <f ca="1">schedule3_total!F60</f>
        <v>0</v>
      </c>
      <c r="I721" s="180"/>
      <c r="J721" s="151">
        <f ca="1">schedule3_total!H60</f>
        <v>623928</v>
      </c>
      <c r="K721" s="180"/>
      <c r="L721" s="4"/>
      <c r="M721" s="106"/>
      <c r="N721" s="4"/>
    </row>
    <row r="722" spans="1:14" ht="20.25" customHeight="1">
      <c r="A722" s="106"/>
      <c r="B722" s="4"/>
      <c r="C722" s="222"/>
      <c r="D722" s="182" t="s">
        <v>108</v>
      </c>
      <c r="E722" s="58"/>
      <c r="F722" s="58"/>
      <c r="G722" s="58"/>
      <c r="H722" s="58"/>
      <c r="I722" s="58"/>
      <c r="J722" s="152"/>
      <c r="K722" s="58"/>
      <c r="L722" s="4"/>
      <c r="M722" s="106"/>
      <c r="N722" s="4"/>
    </row>
    <row r="723" spans="1:14" ht="20.25" customHeight="1">
      <c r="A723" s="106">
        <v>723</v>
      </c>
      <c r="B723" s="4"/>
      <c r="C723" s="221">
        <v>3462</v>
      </c>
      <c r="D723" s="149" t="s">
        <v>91</v>
      </c>
      <c r="E723" s="59">
        <f ca="1">schedule3_total!C62</f>
        <v>5520</v>
      </c>
      <c r="F723" s="59">
        <f ca="1">schedule3_total!D62</f>
        <v>31300</v>
      </c>
      <c r="G723" s="59">
        <f ca="1">schedule3_total!E62</f>
        <v>0</v>
      </c>
      <c r="H723" s="59">
        <f ca="1">schedule3_total!F62</f>
        <v>0</v>
      </c>
      <c r="I723" s="57"/>
      <c r="J723" s="149">
        <f ca="1">schedule3_total!H62</f>
        <v>36820</v>
      </c>
      <c r="K723" s="57"/>
      <c r="L723" s="4"/>
      <c r="M723" s="106"/>
      <c r="N723" s="4"/>
    </row>
    <row r="724" spans="1:14" ht="20.25" customHeight="1">
      <c r="A724" s="106">
        <v>724</v>
      </c>
      <c r="B724" s="4"/>
      <c r="C724" s="221">
        <v>3463</v>
      </c>
      <c r="D724" s="149" t="s">
        <v>85</v>
      </c>
      <c r="E724" s="59">
        <f ca="1">schedule3_total!C63</f>
        <v>0</v>
      </c>
      <c r="F724" s="59">
        <f ca="1">schedule3_total!D63</f>
        <v>0</v>
      </c>
      <c r="G724" s="59">
        <f ca="1">schedule3_total!E63</f>
        <v>0</v>
      </c>
      <c r="H724" s="59">
        <f ca="1">schedule3_total!F63</f>
        <v>0</v>
      </c>
      <c r="I724" s="57"/>
      <c r="J724" s="149">
        <f ca="1">schedule3_total!H63</f>
        <v>0</v>
      </c>
      <c r="K724" s="57"/>
      <c r="L724" s="4"/>
      <c r="M724" s="106"/>
      <c r="N724" s="4"/>
    </row>
    <row r="725" spans="1:14" ht="20.25" customHeight="1">
      <c r="A725" s="106">
        <v>725</v>
      </c>
      <c r="B725" s="4"/>
      <c r="C725" s="221">
        <v>3464</v>
      </c>
      <c r="D725" s="149" t="s">
        <v>86</v>
      </c>
      <c r="E725" s="59">
        <f ca="1">schedule3_total!C64</f>
        <v>0</v>
      </c>
      <c r="F725" s="59">
        <f ca="1">schedule3_total!D64</f>
        <v>0</v>
      </c>
      <c r="G725" s="59">
        <f ca="1">schedule3_total!E64</f>
        <v>0</v>
      </c>
      <c r="H725" s="59">
        <f ca="1">schedule3_total!F64</f>
        <v>0</v>
      </c>
      <c r="I725" s="57"/>
      <c r="J725" s="149">
        <f ca="1">schedule3_total!H64</f>
        <v>0</v>
      </c>
      <c r="K725" s="57"/>
      <c r="L725" s="4"/>
      <c r="M725" s="106"/>
      <c r="N725" s="4"/>
    </row>
    <row r="726" spans="1:14" ht="20.25" customHeight="1">
      <c r="A726" s="106">
        <v>726</v>
      </c>
      <c r="B726" s="4"/>
      <c r="C726" s="221">
        <v>3465</v>
      </c>
      <c r="D726" s="179" t="s">
        <v>89</v>
      </c>
      <c r="E726" s="150">
        <f ca="1">schedule3_total!C65</f>
        <v>5520</v>
      </c>
      <c r="F726" s="150">
        <f ca="1">schedule3_total!D65</f>
        <v>31300</v>
      </c>
      <c r="G726" s="150">
        <f ca="1">schedule3_total!E65</f>
        <v>0</v>
      </c>
      <c r="H726" s="150">
        <f ca="1">schedule3_total!F65</f>
        <v>0</v>
      </c>
      <c r="I726" s="57"/>
      <c r="J726" s="149">
        <f ca="1">schedule3_total!H65</f>
        <v>36820</v>
      </c>
      <c r="K726" s="57"/>
      <c r="L726" s="4"/>
      <c r="M726" s="106"/>
      <c r="N726" s="4"/>
    </row>
    <row r="727" spans="1:14" ht="20.25" customHeight="1">
      <c r="A727" s="106"/>
      <c r="B727" s="4"/>
      <c r="C727" s="222"/>
      <c r="D727" s="182" t="s">
        <v>109</v>
      </c>
      <c r="E727" s="152"/>
      <c r="F727" s="152"/>
      <c r="G727" s="152"/>
      <c r="H727" s="152"/>
      <c r="I727" s="152"/>
      <c r="J727" s="152"/>
      <c r="K727" s="152"/>
      <c r="L727" s="4"/>
      <c r="M727" s="106"/>
      <c r="N727" s="4"/>
    </row>
    <row r="728" spans="1:14" ht="20.25" customHeight="1">
      <c r="A728" s="106">
        <v>728</v>
      </c>
      <c r="B728" s="169"/>
      <c r="C728" s="224">
        <v>3467</v>
      </c>
      <c r="D728" s="153" t="s">
        <v>85</v>
      </c>
      <c r="E728" s="153">
        <f ca="1">schedule3_total!C67</f>
        <v>91389</v>
      </c>
      <c r="F728" s="153">
        <f ca="1">schedule3_total!D67</f>
        <v>40865</v>
      </c>
      <c r="G728" s="153">
        <f ca="1">schedule3_total!E67</f>
        <v>0</v>
      </c>
      <c r="H728" s="153">
        <f ca="1">schedule3_total!F67</f>
        <v>0</v>
      </c>
      <c r="I728" s="184"/>
      <c r="J728" s="153">
        <f ca="1">schedule3_total!H67</f>
        <v>132254</v>
      </c>
      <c r="K728" s="184"/>
      <c r="L728" s="4"/>
      <c r="M728" s="106"/>
      <c r="N728" s="4"/>
    </row>
    <row r="729" spans="1:14" ht="20.25" customHeight="1">
      <c r="A729" s="106">
        <v>729</v>
      </c>
      <c r="B729" s="169"/>
      <c r="C729" s="221">
        <v>3468</v>
      </c>
      <c r="D729" s="149" t="s">
        <v>86</v>
      </c>
      <c r="E729" s="149">
        <f ca="1">schedule3_total!C68</f>
        <v>119774.99</v>
      </c>
      <c r="F729" s="149">
        <f ca="1">schedule3_total!D68</f>
        <v>60145.08</v>
      </c>
      <c r="G729" s="149">
        <f ca="1">schedule3_total!E68</f>
        <v>0</v>
      </c>
      <c r="H729" s="149">
        <f ca="1">schedule3_total!F68</f>
        <v>0</v>
      </c>
      <c r="I729" s="57"/>
      <c r="J729" s="149">
        <f ca="1">schedule3_total!H68</f>
        <v>179920</v>
      </c>
      <c r="K729" s="57"/>
      <c r="L729" s="4"/>
      <c r="M729" s="106"/>
      <c r="N729" s="4"/>
    </row>
    <row r="730" spans="1:14" ht="20.25" customHeight="1">
      <c r="A730" s="106">
        <v>730</v>
      </c>
      <c r="B730" s="4"/>
      <c r="C730" s="221">
        <v>3469</v>
      </c>
      <c r="D730" s="175" t="s">
        <v>89</v>
      </c>
      <c r="E730" s="149">
        <f ca="1">schedule3_total!C69</f>
        <v>211164</v>
      </c>
      <c r="F730" s="149">
        <f ca="1">schedule3_total!D69</f>
        <v>101010</v>
      </c>
      <c r="G730" s="149">
        <f ca="1">schedule3_total!E69</f>
        <v>0</v>
      </c>
      <c r="H730" s="149">
        <f ca="1">schedule3_total!F69</f>
        <v>0</v>
      </c>
      <c r="I730" s="57"/>
      <c r="J730" s="149">
        <f ca="1">schedule3_total!H69</f>
        <v>312174</v>
      </c>
      <c r="K730" s="57"/>
      <c r="L730" s="4"/>
      <c r="M730" s="106"/>
      <c r="N730" s="4"/>
    </row>
    <row r="731" spans="1:14" ht="20.25" customHeight="1">
      <c r="A731" s="106"/>
      <c r="B731" s="4"/>
      <c r="C731" s="176"/>
      <c r="D731" s="177" t="s">
        <v>110</v>
      </c>
      <c r="E731" s="18"/>
      <c r="F731" s="18"/>
      <c r="G731" s="18"/>
      <c r="H731" s="18"/>
      <c r="I731" s="18"/>
      <c r="J731" s="18"/>
      <c r="K731" s="18"/>
      <c r="L731" s="4"/>
      <c r="M731" s="106"/>
      <c r="N731" s="4"/>
    </row>
    <row r="732" spans="1:14" ht="20.25" customHeight="1">
      <c r="A732" s="106">
        <v>732</v>
      </c>
      <c r="B732" s="169"/>
      <c r="C732" s="174">
        <v>3473</v>
      </c>
      <c r="D732" s="149" t="s">
        <v>85</v>
      </c>
      <c r="E732" s="149">
        <f ca="1">schedule3_total!C71</f>
        <v>96135.11</v>
      </c>
      <c r="F732" s="149">
        <f ca="1">schedule3_total!D71</f>
        <v>1060979</v>
      </c>
      <c r="G732" s="149">
        <f ca="1">schedule3_total!E71</f>
        <v>0</v>
      </c>
      <c r="H732" s="149">
        <f ca="1">schedule3_total!F71</f>
        <v>0</v>
      </c>
      <c r="I732" s="57"/>
      <c r="J732" s="149">
        <f ca="1">schedule3_total!H71</f>
        <v>1157114</v>
      </c>
      <c r="K732" s="57"/>
      <c r="L732" s="4"/>
      <c r="M732" s="106"/>
      <c r="N732" s="4"/>
    </row>
    <row r="733" spans="1:14" ht="20.25" customHeight="1">
      <c r="A733" s="106">
        <v>733</v>
      </c>
      <c r="B733" s="169"/>
      <c r="C733" s="174">
        <v>3474</v>
      </c>
      <c r="D733" s="149" t="s">
        <v>86</v>
      </c>
      <c r="E733" s="149">
        <f ca="1">schedule3_total!C72</f>
        <v>0</v>
      </c>
      <c r="F733" s="149">
        <f ca="1">schedule3_total!D72</f>
        <v>0</v>
      </c>
      <c r="G733" s="149">
        <f ca="1">schedule3_total!E72</f>
        <v>0</v>
      </c>
      <c r="H733" s="149">
        <f ca="1">schedule3_total!F72</f>
        <v>0</v>
      </c>
      <c r="I733" s="57"/>
      <c r="J733" s="149">
        <f ca="1">schedule3_total!H72</f>
        <v>0</v>
      </c>
      <c r="K733" s="57"/>
      <c r="L733" s="4"/>
      <c r="M733" s="106"/>
      <c r="N733" s="4"/>
    </row>
    <row r="734" spans="1:14" ht="20.25" customHeight="1">
      <c r="A734" s="106">
        <v>734</v>
      </c>
      <c r="B734" s="169"/>
      <c r="C734" s="174">
        <v>3475</v>
      </c>
      <c r="D734" s="175" t="s">
        <v>89</v>
      </c>
      <c r="E734" s="149">
        <f ca="1">schedule3_total!C73</f>
        <v>96135</v>
      </c>
      <c r="F734" s="149">
        <f ca="1">schedule3_total!D73</f>
        <v>1060979</v>
      </c>
      <c r="G734" s="149">
        <f ca="1">schedule3_total!E73</f>
        <v>0</v>
      </c>
      <c r="H734" s="149">
        <f ca="1">schedule3_total!F73</f>
        <v>0</v>
      </c>
      <c r="I734" s="57"/>
      <c r="J734" s="149">
        <f ca="1">schedule3_total!H73</f>
        <v>1157114</v>
      </c>
      <c r="K734" s="57"/>
      <c r="L734" s="4"/>
      <c r="M734" s="106"/>
      <c r="N734" s="4"/>
    </row>
    <row r="735" spans="1:14" ht="20.25" customHeight="1">
      <c r="A735" s="106"/>
      <c r="B735" s="4"/>
      <c r="C735" s="176"/>
      <c r="D735" s="177" t="s">
        <v>111</v>
      </c>
      <c r="E735" s="18"/>
      <c r="F735" s="18"/>
      <c r="G735" s="18"/>
      <c r="H735" s="18"/>
      <c r="I735" s="18"/>
      <c r="J735" s="18"/>
      <c r="K735" s="18"/>
      <c r="L735" s="4"/>
      <c r="M735" s="106"/>
      <c r="N735" s="4"/>
    </row>
    <row r="736" spans="1:14" ht="20.25" customHeight="1">
      <c r="A736" s="106">
        <v>736</v>
      </c>
      <c r="B736" s="4"/>
      <c r="C736" s="174">
        <v>3476</v>
      </c>
      <c r="D736" s="149" t="s">
        <v>91</v>
      </c>
      <c r="E736" s="57"/>
      <c r="F736" s="57"/>
      <c r="G736" s="57"/>
      <c r="H736" s="57"/>
      <c r="I736" s="149">
        <f ca="1">schedule3_total!G75</f>
        <v>0</v>
      </c>
      <c r="J736" s="149">
        <f ca="1">schedule3_total!H75</f>
        <v>0</v>
      </c>
      <c r="K736" s="149">
        <f ca="1">schedule3_total!I75</f>
        <v>0</v>
      </c>
      <c r="L736" s="4"/>
      <c r="M736" s="106"/>
      <c r="N736" s="4"/>
    </row>
    <row r="737" spans="1:14" ht="20.25" customHeight="1">
      <c r="A737" s="106">
        <v>737</v>
      </c>
      <c r="B737" s="4"/>
      <c r="C737" s="174">
        <v>3477</v>
      </c>
      <c r="D737" s="149" t="s">
        <v>84</v>
      </c>
      <c r="E737" s="57"/>
      <c r="F737" s="57"/>
      <c r="G737" s="57"/>
      <c r="H737" s="57"/>
      <c r="I737" s="149">
        <f ca="1">schedule3_total!G76</f>
        <v>0</v>
      </c>
      <c r="J737" s="149">
        <f ca="1">schedule3_total!H76</f>
        <v>0</v>
      </c>
      <c r="K737" s="149">
        <f ca="1">schedule3_total!I76</f>
        <v>0</v>
      </c>
      <c r="L737" s="4"/>
      <c r="M737" s="106"/>
      <c r="N737" s="4"/>
    </row>
    <row r="738" spans="1:14" ht="20.25" customHeight="1">
      <c r="A738" s="106">
        <v>738</v>
      </c>
      <c r="B738" s="169"/>
      <c r="C738" s="174">
        <v>3478</v>
      </c>
      <c r="D738" s="149" t="s">
        <v>85</v>
      </c>
      <c r="E738" s="57"/>
      <c r="F738" s="57"/>
      <c r="G738" s="57"/>
      <c r="H738" s="57"/>
      <c r="I738" s="149">
        <f ca="1">schedule3_total!G77</f>
        <v>0</v>
      </c>
      <c r="J738" s="149">
        <f ca="1">schedule3_total!H77</f>
        <v>0</v>
      </c>
      <c r="K738" s="149">
        <f ca="1">schedule3_total!I77</f>
        <v>0</v>
      </c>
      <c r="L738" s="4"/>
      <c r="M738" s="106"/>
      <c r="N738" s="4"/>
    </row>
    <row r="739" spans="1:14" ht="20.25" customHeight="1">
      <c r="A739" s="106">
        <v>739</v>
      </c>
      <c r="B739" s="169"/>
      <c r="C739" s="174">
        <v>3479</v>
      </c>
      <c r="D739" s="175" t="s">
        <v>89</v>
      </c>
      <c r="E739" s="57"/>
      <c r="F739" s="57"/>
      <c r="G739" s="57"/>
      <c r="H739" s="57"/>
      <c r="I739" s="149">
        <f ca="1">schedule3_total!G78</f>
        <v>0</v>
      </c>
      <c r="J739" s="149">
        <f ca="1">schedule3_total!H78</f>
        <v>0</v>
      </c>
      <c r="K739" s="149">
        <f ca="1">schedule3_total!I78</f>
        <v>0</v>
      </c>
      <c r="L739" s="4"/>
      <c r="M739" s="106"/>
      <c r="N739" s="4"/>
    </row>
    <row r="740" spans="1:14" ht="20.25" customHeight="1">
      <c r="A740" s="106"/>
      <c r="B740" s="4"/>
      <c r="C740" s="353"/>
      <c r="D740" s="13" t="s">
        <v>112</v>
      </c>
      <c r="E740" s="4"/>
      <c r="F740" s="4"/>
      <c r="G740" s="4"/>
      <c r="H740" s="4"/>
      <c r="I740" s="4"/>
      <c r="J740" s="4"/>
      <c r="K740" s="30"/>
      <c r="L740" s="4"/>
      <c r="M740" s="106"/>
      <c r="N740" s="4"/>
    </row>
    <row r="741" spans="1:14" ht="20.25" customHeight="1">
      <c r="A741" s="106">
        <v>741</v>
      </c>
      <c r="B741" s="313"/>
      <c r="C741" s="314">
        <v>3481</v>
      </c>
      <c r="D741" s="59" t="s">
        <v>86</v>
      </c>
      <c r="E741" s="149">
        <f ca="1">schedule3_total!C80</f>
        <v>0</v>
      </c>
      <c r="F741" s="149">
        <f ca="1">schedule3_total!D80</f>
        <v>0</v>
      </c>
      <c r="G741" s="149">
        <f ca="1">schedule3_total!E80</f>
        <v>0</v>
      </c>
      <c r="H741" s="149">
        <f ca="1">schedule3_total!F80</f>
        <v>0</v>
      </c>
      <c r="I741" s="57"/>
      <c r="J741" s="149">
        <f ca="1">schedule3_total!H80</f>
        <v>0</v>
      </c>
      <c r="K741" s="57"/>
      <c r="L741" s="4"/>
      <c r="M741" s="106"/>
      <c r="N741" s="4"/>
    </row>
    <row r="742" spans="1:14" ht="20.25" customHeight="1">
      <c r="A742" s="106">
        <v>742</v>
      </c>
      <c r="B742" s="313"/>
      <c r="C742" s="314">
        <v>3482</v>
      </c>
      <c r="D742" s="59" t="s">
        <v>87</v>
      </c>
      <c r="E742" s="149">
        <f ca="1">schedule3_total!C81</f>
        <v>0</v>
      </c>
      <c r="F742" s="149">
        <f ca="1">schedule3_total!D81</f>
        <v>0</v>
      </c>
      <c r="G742" s="149">
        <f ca="1">schedule3_total!E81</f>
        <v>0</v>
      </c>
      <c r="H742" s="149">
        <f ca="1">schedule3_total!F81</f>
        <v>0</v>
      </c>
      <c r="I742" s="57"/>
      <c r="J742" s="149">
        <f ca="1">schedule3_total!H81</f>
        <v>0</v>
      </c>
      <c r="K742" s="57"/>
      <c r="L742" s="4"/>
      <c r="M742" s="106"/>
      <c r="N742" s="4"/>
    </row>
    <row r="743" spans="1:14" ht="20.25" customHeight="1">
      <c r="A743" s="106">
        <v>743</v>
      </c>
      <c r="B743" s="313"/>
      <c r="C743" s="314">
        <v>3485</v>
      </c>
      <c r="D743" s="59" t="s">
        <v>88</v>
      </c>
      <c r="E743" s="149">
        <f ca="1">schedule3_total!C82</f>
        <v>0</v>
      </c>
      <c r="F743" s="149">
        <f ca="1">schedule3_total!D82</f>
        <v>0</v>
      </c>
      <c r="G743" s="149">
        <f ca="1">schedule3_total!E82</f>
        <v>0</v>
      </c>
      <c r="H743" s="149">
        <f ca="1">schedule3_total!F82</f>
        <v>0</v>
      </c>
      <c r="I743" s="57"/>
      <c r="J743" s="149">
        <f ca="1">schedule3_total!H82</f>
        <v>0</v>
      </c>
      <c r="K743" s="57"/>
      <c r="L743" s="4"/>
      <c r="M743" s="106"/>
      <c r="N743" s="4"/>
    </row>
    <row r="744" spans="1:14" ht="20.25" customHeight="1">
      <c r="A744" s="106">
        <v>744</v>
      </c>
      <c r="B744" s="4"/>
      <c r="C744" s="314">
        <v>3486</v>
      </c>
      <c r="D744" s="307" t="s">
        <v>89</v>
      </c>
      <c r="E744" s="149">
        <f ca="1">schedule3_total!C83</f>
        <v>0</v>
      </c>
      <c r="F744" s="149">
        <f ca="1">schedule3_total!D83</f>
        <v>0</v>
      </c>
      <c r="G744" s="149">
        <f ca="1">schedule3_total!E83</f>
        <v>0</v>
      </c>
      <c r="H744" s="149">
        <f ca="1">schedule3_total!F83</f>
        <v>0</v>
      </c>
      <c r="I744" s="57"/>
      <c r="J744" s="149">
        <f ca="1">schedule3_total!H83</f>
        <v>0</v>
      </c>
      <c r="K744" s="57"/>
      <c r="L744" s="4"/>
      <c r="M744" s="106"/>
      <c r="N744" s="4"/>
    </row>
    <row r="745" spans="1:14" ht="20.25" customHeight="1">
      <c r="A745" s="106"/>
      <c r="B745" s="4"/>
      <c r="C745" s="176"/>
      <c r="D745" s="177" t="s">
        <v>113</v>
      </c>
      <c r="E745" s="18"/>
      <c r="F745" s="18"/>
      <c r="G745" s="18"/>
      <c r="H745" s="18"/>
      <c r="I745" s="18"/>
      <c r="J745" s="18"/>
      <c r="K745" s="18"/>
      <c r="L745" s="4"/>
      <c r="M745" s="106"/>
      <c r="N745" s="4"/>
    </row>
    <row r="746" spans="1:14" ht="20.25" customHeight="1">
      <c r="A746" s="106">
        <v>746</v>
      </c>
      <c r="B746" s="4"/>
      <c r="C746" s="314">
        <v>3487</v>
      </c>
      <c r="D746" s="149" t="s">
        <v>91</v>
      </c>
      <c r="E746" s="57"/>
      <c r="F746" s="57"/>
      <c r="G746" s="57"/>
      <c r="H746" s="57"/>
      <c r="I746" s="149">
        <f ca="1">schedule3_total!G85</f>
        <v>0</v>
      </c>
      <c r="J746" s="149">
        <f ca="1">schedule3_total!H85</f>
        <v>0</v>
      </c>
      <c r="K746" s="57"/>
      <c r="L746" s="4"/>
      <c r="M746" s="106"/>
      <c r="N746" s="4"/>
    </row>
    <row r="747" spans="1:14" ht="20.25" customHeight="1">
      <c r="A747" s="106">
        <v>747</v>
      </c>
      <c r="B747" s="169"/>
      <c r="C747" s="314">
        <v>3488</v>
      </c>
      <c r="D747" s="149" t="s">
        <v>84</v>
      </c>
      <c r="E747" s="57"/>
      <c r="F747" s="57"/>
      <c r="G747" s="57"/>
      <c r="H747" s="57"/>
      <c r="I747" s="149">
        <f ca="1">schedule3_total!G86</f>
        <v>0</v>
      </c>
      <c r="J747" s="149">
        <f ca="1">schedule3_total!H86</f>
        <v>0</v>
      </c>
      <c r="K747" s="57"/>
      <c r="L747" s="4"/>
      <c r="M747" s="106"/>
      <c r="N747" s="4"/>
    </row>
    <row r="748" spans="1:14" ht="20.25" customHeight="1">
      <c r="A748" s="106">
        <v>748</v>
      </c>
      <c r="B748" s="169"/>
      <c r="C748" s="314">
        <v>3489</v>
      </c>
      <c r="D748" s="153" t="s">
        <v>85</v>
      </c>
      <c r="E748" s="57"/>
      <c r="F748" s="57"/>
      <c r="G748" s="57"/>
      <c r="H748" s="57"/>
      <c r="I748" s="149">
        <f ca="1">schedule3_total!G87</f>
        <v>0</v>
      </c>
      <c r="J748" s="149">
        <f ca="1">schedule3_total!H87</f>
        <v>0</v>
      </c>
      <c r="K748" s="57"/>
      <c r="L748" s="4"/>
      <c r="M748" s="106"/>
      <c r="N748" s="4"/>
    </row>
    <row r="749" spans="1:14" ht="20.25" customHeight="1">
      <c r="A749" s="106">
        <v>749</v>
      </c>
      <c r="B749" s="169"/>
      <c r="C749" s="314">
        <v>3490</v>
      </c>
      <c r="D749" s="149" t="s">
        <v>86</v>
      </c>
      <c r="E749" s="57"/>
      <c r="F749" s="57"/>
      <c r="G749" s="57"/>
      <c r="H749" s="57"/>
      <c r="I749" s="149">
        <f ca="1">schedule3_total!G88</f>
        <v>0</v>
      </c>
      <c r="J749" s="149">
        <f ca="1">schedule3_total!H88</f>
        <v>0</v>
      </c>
      <c r="K749" s="57"/>
      <c r="L749" s="4"/>
      <c r="M749" s="106"/>
      <c r="N749" s="4"/>
    </row>
    <row r="750" spans="1:14" ht="20.25" customHeight="1">
      <c r="A750" s="106">
        <v>750</v>
      </c>
      <c r="B750" s="169"/>
      <c r="C750" s="314">
        <v>3491</v>
      </c>
      <c r="D750" s="149" t="s">
        <v>87</v>
      </c>
      <c r="E750" s="57"/>
      <c r="F750" s="57"/>
      <c r="G750" s="57"/>
      <c r="H750" s="57"/>
      <c r="I750" s="149">
        <f ca="1">schedule3_total!G89</f>
        <v>0</v>
      </c>
      <c r="J750" s="149">
        <f ca="1">schedule3_total!H89</f>
        <v>0</v>
      </c>
      <c r="K750" s="57"/>
      <c r="L750" s="4"/>
      <c r="M750" s="106"/>
      <c r="N750" s="4"/>
    </row>
    <row r="751" spans="1:14" ht="20.25" customHeight="1">
      <c r="A751" s="106">
        <v>751</v>
      </c>
      <c r="B751" s="4"/>
      <c r="C751" s="314">
        <v>3492</v>
      </c>
      <c r="D751" s="149" t="s">
        <v>88</v>
      </c>
      <c r="E751" s="57"/>
      <c r="F751" s="57"/>
      <c r="G751" s="57"/>
      <c r="H751" s="57"/>
      <c r="I751" s="149">
        <f ca="1">schedule3_total!G90</f>
        <v>0</v>
      </c>
      <c r="J751" s="149">
        <f ca="1">schedule3_total!H90</f>
        <v>0</v>
      </c>
      <c r="K751" s="57"/>
      <c r="L751" s="4"/>
      <c r="M751" s="106"/>
      <c r="N751" s="4"/>
    </row>
    <row r="752" spans="1:14" ht="20.25" customHeight="1">
      <c r="A752" s="106">
        <v>752</v>
      </c>
      <c r="B752" s="4"/>
      <c r="C752" s="314">
        <v>3493</v>
      </c>
      <c r="D752" s="175" t="s">
        <v>89</v>
      </c>
      <c r="E752" s="57"/>
      <c r="F752" s="57"/>
      <c r="G752" s="57"/>
      <c r="H752" s="57"/>
      <c r="I752" s="149">
        <f ca="1">schedule3_total!G91</f>
        <v>0</v>
      </c>
      <c r="J752" s="149">
        <f ca="1">schedule3_total!H91</f>
        <v>0</v>
      </c>
      <c r="K752" s="57"/>
      <c r="L752" s="4"/>
      <c r="M752" s="106"/>
      <c r="N752" s="4"/>
    </row>
    <row r="753" spans="1:14" ht="20.25" customHeight="1">
      <c r="A753" s="106"/>
      <c r="B753" s="4"/>
      <c r="C753" s="106"/>
      <c r="D753" s="177" t="s">
        <v>114</v>
      </c>
      <c r="E753" s="18"/>
      <c r="F753" s="18"/>
      <c r="G753" s="18"/>
      <c r="H753" s="18"/>
      <c r="I753" s="18"/>
      <c r="J753" s="18"/>
      <c r="K753" s="18"/>
      <c r="L753" s="4"/>
      <c r="M753" s="106"/>
      <c r="N753" s="4"/>
    </row>
    <row r="754" spans="1:14" ht="20.25" customHeight="1">
      <c r="A754" s="106">
        <v>754</v>
      </c>
      <c r="B754" s="169"/>
      <c r="C754" s="314">
        <v>3494</v>
      </c>
      <c r="D754" s="149" t="s">
        <v>91</v>
      </c>
      <c r="E754" s="149">
        <f ca="1">schedule3_total!C93</f>
        <v>0</v>
      </c>
      <c r="F754" s="149">
        <f ca="1">schedule3_total!D93</f>
        <v>0</v>
      </c>
      <c r="G754" s="149">
        <f ca="1">schedule3_total!E93</f>
        <v>0</v>
      </c>
      <c r="H754" s="149">
        <f ca="1">schedule3_total!F93</f>
        <v>0</v>
      </c>
      <c r="I754" s="57"/>
      <c r="J754" s="149">
        <f ca="1">schedule3_total!H93</f>
        <v>0</v>
      </c>
      <c r="K754" s="57"/>
      <c r="L754" s="4"/>
      <c r="M754" s="106"/>
      <c r="N754" s="4"/>
    </row>
    <row r="755" spans="1:14" ht="20.25" customHeight="1">
      <c r="A755" s="106">
        <v>755</v>
      </c>
      <c r="B755" s="169"/>
      <c r="C755" s="314">
        <v>3495</v>
      </c>
      <c r="D755" s="149" t="s">
        <v>86</v>
      </c>
      <c r="E755" s="149">
        <f ca="1">schedule3_total!C94</f>
        <v>0</v>
      </c>
      <c r="F755" s="149">
        <f ca="1">schedule3_total!D94</f>
        <v>0</v>
      </c>
      <c r="G755" s="149">
        <f ca="1">schedule3_total!E94</f>
        <v>0</v>
      </c>
      <c r="H755" s="149">
        <f ca="1">schedule3_total!F94</f>
        <v>0</v>
      </c>
      <c r="I755" s="57"/>
      <c r="J755" s="149">
        <f ca="1">schedule3_total!H94</f>
        <v>0</v>
      </c>
      <c r="K755" s="57"/>
      <c r="L755" s="4"/>
      <c r="M755" s="106"/>
      <c r="N755" s="4"/>
    </row>
    <row r="756" spans="1:14" ht="20.25" customHeight="1">
      <c r="A756" s="106">
        <v>756</v>
      </c>
      <c r="B756" s="4"/>
      <c r="C756" s="314">
        <v>3496</v>
      </c>
      <c r="D756" s="149" t="s">
        <v>87</v>
      </c>
      <c r="E756" s="149">
        <f ca="1">schedule3_total!C95</f>
        <v>0</v>
      </c>
      <c r="F756" s="149">
        <f ca="1">schedule3_total!D95</f>
        <v>0</v>
      </c>
      <c r="G756" s="149">
        <f ca="1">schedule3_total!E95</f>
        <v>0</v>
      </c>
      <c r="H756" s="149">
        <f ca="1">schedule3_total!F95</f>
        <v>0</v>
      </c>
      <c r="I756" s="57"/>
      <c r="J756" s="149">
        <f ca="1">schedule3_total!H95</f>
        <v>0</v>
      </c>
      <c r="K756" s="57"/>
      <c r="L756" s="4"/>
      <c r="M756" s="106"/>
      <c r="N756" s="4"/>
    </row>
    <row r="757" spans="1:14" ht="20.25" customHeight="1">
      <c r="A757" s="106">
        <v>757</v>
      </c>
      <c r="B757" s="4"/>
      <c r="C757" s="314">
        <v>3497</v>
      </c>
      <c r="D757" s="149" t="s">
        <v>88</v>
      </c>
      <c r="E757" s="149">
        <f ca="1">schedule3_total!C96</f>
        <v>0</v>
      </c>
      <c r="F757" s="149">
        <f ca="1">schedule3_total!D96</f>
        <v>0</v>
      </c>
      <c r="G757" s="149">
        <f ca="1">schedule3_total!E96</f>
        <v>0</v>
      </c>
      <c r="H757" s="149">
        <f ca="1">schedule3_total!F96</f>
        <v>0</v>
      </c>
      <c r="I757" s="57"/>
      <c r="J757" s="149">
        <f ca="1">schedule3_total!H96</f>
        <v>0</v>
      </c>
      <c r="K757" s="57"/>
      <c r="L757" s="4"/>
      <c r="M757" s="106"/>
      <c r="N757" s="4"/>
    </row>
    <row r="758" spans="1:14" ht="20.25" customHeight="1">
      <c r="A758" s="106">
        <v>758</v>
      </c>
      <c r="B758" s="169"/>
      <c r="C758" s="314">
        <v>3498</v>
      </c>
      <c r="D758" s="175" t="s">
        <v>89</v>
      </c>
      <c r="E758" s="149">
        <f ca="1">schedule3_total!C97</f>
        <v>0</v>
      </c>
      <c r="F758" s="149">
        <f ca="1">schedule3_total!D97</f>
        <v>0</v>
      </c>
      <c r="G758" s="149">
        <f ca="1">schedule3_total!E97</f>
        <v>0</v>
      </c>
      <c r="H758" s="149">
        <f ca="1">schedule3_total!F97</f>
        <v>0</v>
      </c>
      <c r="I758" s="57"/>
      <c r="J758" s="149">
        <f ca="1">schedule3_total!H97</f>
        <v>0</v>
      </c>
      <c r="K758" s="57"/>
      <c r="L758" s="4"/>
      <c r="M758" s="106"/>
      <c r="N758" s="4"/>
    </row>
    <row r="759" spans="1:14" ht="20.25" customHeight="1">
      <c r="A759" s="106"/>
      <c r="B759" s="4"/>
      <c r="C759" s="106"/>
      <c r="D759" s="177" t="s">
        <v>115</v>
      </c>
      <c r="E759" s="18"/>
      <c r="F759" s="18"/>
      <c r="G759" s="18"/>
      <c r="H759" s="18"/>
      <c r="I759" s="18"/>
      <c r="J759" s="18"/>
      <c r="K759" s="18"/>
      <c r="L759" s="4"/>
      <c r="M759" s="106"/>
      <c r="N759" s="4"/>
    </row>
    <row r="760" spans="1:14" ht="20.25" customHeight="1">
      <c r="A760" s="106">
        <v>760</v>
      </c>
      <c r="B760" s="169"/>
      <c r="C760" s="314">
        <v>3499</v>
      </c>
      <c r="D760" s="149" t="s">
        <v>91</v>
      </c>
      <c r="E760" s="149">
        <f ca="1">schedule3_total!C99</f>
        <v>0</v>
      </c>
      <c r="F760" s="149">
        <f ca="1">schedule3_total!D99</f>
        <v>0</v>
      </c>
      <c r="G760" s="149">
        <f ca="1">schedule3_total!E99</f>
        <v>0</v>
      </c>
      <c r="H760" s="149">
        <f ca="1">schedule3_total!F99</f>
        <v>0</v>
      </c>
      <c r="I760" s="57"/>
      <c r="J760" s="149">
        <f ca="1">schedule3_total!H99</f>
        <v>0</v>
      </c>
      <c r="K760" s="57"/>
      <c r="L760" s="4"/>
      <c r="M760" s="106"/>
      <c r="N760" s="4"/>
    </row>
    <row r="761" spans="1:14" ht="20.25" customHeight="1">
      <c r="A761" s="106" t="s">
        <v>100</v>
      </c>
      <c r="B761" s="4"/>
      <c r="C761" s="106" t="s">
        <v>100</v>
      </c>
      <c r="D761" s="182" t="s">
        <v>116</v>
      </c>
      <c r="E761" s="18"/>
      <c r="F761" s="18"/>
      <c r="G761" s="18"/>
      <c r="H761" s="18"/>
      <c r="I761" s="18"/>
      <c r="J761" s="18"/>
      <c r="K761" s="18"/>
      <c r="L761" s="4"/>
      <c r="M761" s="106"/>
      <c r="N761" s="4"/>
    </row>
    <row r="762" spans="1:14" ht="20.25" customHeight="1">
      <c r="A762" s="106">
        <v>762</v>
      </c>
      <c r="B762" s="4"/>
      <c r="C762" s="314">
        <v>3501</v>
      </c>
      <c r="D762" s="149" t="s">
        <v>91</v>
      </c>
      <c r="E762" s="149">
        <f ca="1">schedule3_total!C101</f>
        <v>0</v>
      </c>
      <c r="F762" s="149">
        <f ca="1">schedule3_total!D101</f>
        <v>0</v>
      </c>
      <c r="G762" s="149">
        <f ca="1">schedule3_total!E101</f>
        <v>0</v>
      </c>
      <c r="H762" s="149">
        <f ca="1">schedule3_total!F101</f>
        <v>0</v>
      </c>
      <c r="I762" s="57"/>
      <c r="J762" s="149">
        <f ca="1">schedule3_total!H101</f>
        <v>0</v>
      </c>
      <c r="K762" s="57"/>
      <c r="L762" s="4"/>
      <c r="M762" s="106"/>
      <c r="N762" s="4"/>
    </row>
    <row r="763" spans="1:14" ht="20.25" customHeight="1">
      <c r="A763" s="106">
        <v>763</v>
      </c>
      <c r="B763" s="4"/>
      <c r="C763" s="314">
        <v>3502</v>
      </c>
      <c r="D763" s="149" t="s">
        <v>85</v>
      </c>
      <c r="E763" s="149">
        <f ca="1">schedule3_total!C102</f>
        <v>0</v>
      </c>
      <c r="F763" s="149">
        <f ca="1">schedule3_total!D102</f>
        <v>0</v>
      </c>
      <c r="G763" s="149">
        <f ca="1">schedule3_total!E102</f>
        <v>0</v>
      </c>
      <c r="H763" s="149">
        <f ca="1">schedule3_total!F102</f>
        <v>0</v>
      </c>
      <c r="I763" s="57"/>
      <c r="J763" s="149">
        <f ca="1">schedule3_total!H102</f>
        <v>0</v>
      </c>
      <c r="K763" s="57"/>
      <c r="L763" s="4"/>
      <c r="M763" s="106"/>
      <c r="N763" s="4"/>
    </row>
    <row r="764" spans="1:14" ht="20.25" customHeight="1">
      <c r="A764" s="106">
        <v>764</v>
      </c>
      <c r="B764" s="169"/>
      <c r="C764" s="314">
        <v>3503</v>
      </c>
      <c r="D764" s="149" t="s">
        <v>87</v>
      </c>
      <c r="E764" s="149">
        <f ca="1">schedule3_total!C103</f>
        <v>0</v>
      </c>
      <c r="F764" s="149">
        <f ca="1">schedule3_total!D103</f>
        <v>0</v>
      </c>
      <c r="G764" s="149">
        <f ca="1">schedule3_total!E103</f>
        <v>0</v>
      </c>
      <c r="H764" s="149">
        <f ca="1">schedule3_total!F103</f>
        <v>0</v>
      </c>
      <c r="I764" s="57"/>
      <c r="J764" s="149">
        <f ca="1">schedule3_total!H103</f>
        <v>0</v>
      </c>
      <c r="K764" s="57"/>
      <c r="L764" s="4"/>
      <c r="M764" s="106"/>
      <c r="N764" s="4"/>
    </row>
    <row r="765" spans="1:14" ht="20.25" customHeight="1">
      <c r="A765" s="106">
        <v>765</v>
      </c>
      <c r="B765" s="169"/>
      <c r="C765" s="314">
        <v>3504</v>
      </c>
      <c r="D765" s="149" t="s">
        <v>88</v>
      </c>
      <c r="E765" s="149">
        <f ca="1">schedule3_total!C104</f>
        <v>0</v>
      </c>
      <c r="F765" s="149">
        <f ca="1">schedule3_total!D104</f>
        <v>0</v>
      </c>
      <c r="G765" s="149">
        <f ca="1">schedule3_total!E104</f>
        <v>0</v>
      </c>
      <c r="H765" s="149">
        <f ca="1">schedule3_total!F104</f>
        <v>0</v>
      </c>
      <c r="I765" s="57"/>
      <c r="J765" s="149">
        <f ca="1">schedule3_total!H104</f>
        <v>0</v>
      </c>
      <c r="K765" s="57"/>
      <c r="L765" s="4"/>
      <c r="M765" s="106"/>
      <c r="N765" s="4"/>
    </row>
    <row r="766" spans="1:14" ht="20.25" customHeight="1">
      <c r="A766" s="106">
        <v>766</v>
      </c>
      <c r="B766" s="4"/>
      <c r="C766" s="314">
        <v>3505</v>
      </c>
      <c r="D766" s="175" t="s">
        <v>89</v>
      </c>
      <c r="E766" s="149">
        <f ca="1">schedule3_total!C105</f>
        <v>0</v>
      </c>
      <c r="F766" s="149">
        <f ca="1">schedule3_total!D105</f>
        <v>0</v>
      </c>
      <c r="G766" s="149">
        <f ca="1">schedule3_total!E105</f>
        <v>0</v>
      </c>
      <c r="H766" s="149">
        <f ca="1">schedule3_total!F105</f>
        <v>0</v>
      </c>
      <c r="I766" s="57"/>
      <c r="J766" s="149">
        <f ca="1">schedule3_total!H105</f>
        <v>0</v>
      </c>
      <c r="K766" s="57"/>
      <c r="L766" s="4"/>
      <c r="M766" s="106"/>
      <c r="N766" s="4"/>
    </row>
    <row r="767" spans="1:14" ht="20.25" customHeight="1">
      <c r="A767" s="106"/>
      <c r="B767" s="4"/>
      <c r="C767" s="106"/>
      <c r="D767" s="177" t="s">
        <v>292</v>
      </c>
      <c r="E767" s="18"/>
      <c r="F767" s="18"/>
      <c r="G767" s="18"/>
      <c r="H767" s="18"/>
      <c r="I767" s="4"/>
      <c r="J767" s="58"/>
      <c r="K767" s="4"/>
      <c r="L767" s="4"/>
      <c r="M767" s="106"/>
      <c r="N767" s="4"/>
    </row>
    <row r="768" spans="1:14" ht="20.25" customHeight="1">
      <c r="A768" s="106">
        <v>768</v>
      </c>
      <c r="B768" s="4"/>
      <c r="C768" s="314">
        <v>3506</v>
      </c>
      <c r="D768" s="149" t="s">
        <v>86</v>
      </c>
      <c r="E768" s="149">
        <f ca="1">schedule3_total!C107</f>
        <v>21495</v>
      </c>
      <c r="F768" s="149">
        <f ca="1">schedule3_total!D107</f>
        <v>5000</v>
      </c>
      <c r="G768" s="149">
        <f ca="1">schedule3_total!E107</f>
        <v>0</v>
      </c>
      <c r="H768" s="149">
        <f ca="1">schedule3_total!F107</f>
        <v>0</v>
      </c>
      <c r="I768" s="57"/>
      <c r="J768" s="149">
        <f ca="1">schedule3_total!H107</f>
        <v>26495</v>
      </c>
      <c r="K768" s="57"/>
      <c r="L768" s="4"/>
      <c r="M768" s="106"/>
      <c r="N768" s="4"/>
    </row>
    <row r="769" spans="1:14" ht="20.25" customHeight="1">
      <c r="A769" s="106">
        <v>769</v>
      </c>
      <c r="B769" s="4"/>
      <c r="C769" s="314">
        <v>3507</v>
      </c>
      <c r="D769" s="149" t="s">
        <v>87</v>
      </c>
      <c r="E769" s="149">
        <f ca="1">schedule3_total!C108</f>
        <v>0</v>
      </c>
      <c r="F769" s="149">
        <f ca="1">schedule3_total!D108</f>
        <v>0</v>
      </c>
      <c r="G769" s="149">
        <f ca="1">schedule3_total!E108</f>
        <v>0</v>
      </c>
      <c r="H769" s="149">
        <f ca="1">schedule3_total!F108</f>
        <v>0</v>
      </c>
      <c r="I769" s="57"/>
      <c r="J769" s="149">
        <f ca="1">schedule3_total!H108</f>
        <v>0</v>
      </c>
      <c r="K769" s="57"/>
      <c r="L769" s="4"/>
      <c r="M769" s="106"/>
      <c r="N769" s="4"/>
    </row>
    <row r="770" spans="1:14" ht="20.25" customHeight="1">
      <c r="A770" s="106">
        <v>770</v>
      </c>
      <c r="B770" s="169"/>
      <c r="C770" s="314">
        <v>3508</v>
      </c>
      <c r="D770" s="149" t="s">
        <v>88</v>
      </c>
      <c r="E770" s="149">
        <f ca="1">schedule3_total!C109</f>
        <v>0</v>
      </c>
      <c r="F770" s="149">
        <f ca="1">schedule3_total!D109</f>
        <v>0</v>
      </c>
      <c r="G770" s="149">
        <f ca="1">schedule3_total!E109</f>
        <v>0</v>
      </c>
      <c r="H770" s="149">
        <f ca="1">schedule3_total!F109</f>
        <v>0</v>
      </c>
      <c r="I770" s="57"/>
      <c r="J770" s="149">
        <f ca="1">schedule3_total!H109</f>
        <v>0</v>
      </c>
      <c r="K770" s="57"/>
      <c r="L770" s="4"/>
      <c r="M770" s="106"/>
      <c r="N770" s="4"/>
    </row>
    <row r="771" spans="1:14" ht="20.25" customHeight="1">
      <c r="A771" s="106">
        <v>771</v>
      </c>
      <c r="B771" s="169"/>
      <c r="C771" s="314">
        <v>3509</v>
      </c>
      <c r="D771" s="175" t="s">
        <v>89</v>
      </c>
      <c r="E771" s="149">
        <f ca="1">schedule3_total!C110</f>
        <v>21495</v>
      </c>
      <c r="F771" s="149">
        <f ca="1">schedule3_total!D110</f>
        <v>5000</v>
      </c>
      <c r="G771" s="149">
        <f ca="1">schedule3_total!E110</f>
        <v>0</v>
      </c>
      <c r="H771" s="149">
        <f ca="1">schedule3_total!F110</f>
        <v>0</v>
      </c>
      <c r="I771" s="57"/>
      <c r="J771" s="149">
        <f ca="1">schedule3_total!H110</f>
        <v>26495</v>
      </c>
      <c r="K771" s="57"/>
      <c r="L771" s="4"/>
      <c r="M771" s="106"/>
      <c r="N771" s="4"/>
    </row>
    <row r="772" spans="1:14" ht="20.25" customHeight="1">
      <c r="A772" s="106"/>
      <c r="B772" s="4"/>
      <c r="C772" s="106"/>
      <c r="D772" s="13" t="s">
        <v>118</v>
      </c>
      <c r="E772" s="18"/>
      <c r="F772" s="18"/>
      <c r="G772" s="18"/>
      <c r="H772" s="18"/>
      <c r="I772" s="18"/>
      <c r="J772" s="18"/>
      <c r="K772" s="18"/>
      <c r="L772" s="4"/>
      <c r="M772" s="106"/>
      <c r="N772" s="4"/>
    </row>
    <row r="773" spans="1:14" ht="20.25" customHeight="1">
      <c r="A773" s="106">
        <v>773</v>
      </c>
      <c r="B773" s="4"/>
      <c r="C773" s="314">
        <v>3511</v>
      </c>
      <c r="D773" s="149" t="s">
        <v>87</v>
      </c>
      <c r="E773" s="149">
        <f ca="1">schedule3_total!C112</f>
        <v>4281</v>
      </c>
      <c r="F773" s="149">
        <f ca="1">schedule3_total!D112</f>
        <v>0</v>
      </c>
      <c r="G773" s="149">
        <f ca="1">schedule3_total!E112</f>
        <v>0</v>
      </c>
      <c r="H773" s="149">
        <f ca="1">schedule3_total!F112</f>
        <v>0</v>
      </c>
      <c r="I773" s="57"/>
      <c r="J773" s="149">
        <f ca="1">schedule3_total!H112</f>
        <v>4281</v>
      </c>
      <c r="K773" s="57"/>
      <c r="L773" s="4"/>
      <c r="M773" s="106"/>
      <c r="N773" s="4"/>
    </row>
    <row r="774" spans="1:14" ht="20.25" customHeight="1">
      <c r="A774" s="106"/>
      <c r="B774" s="4"/>
      <c r="C774" s="181"/>
      <c r="D774" s="177" t="s">
        <v>119</v>
      </c>
      <c r="E774" s="18"/>
      <c r="F774" s="18"/>
      <c r="G774" s="18"/>
      <c r="H774" s="18"/>
      <c r="I774" s="18"/>
      <c r="J774" s="18"/>
      <c r="K774" s="18"/>
      <c r="L774" s="4"/>
      <c r="M774" s="106"/>
      <c r="N774" s="4"/>
    </row>
    <row r="775" spans="1:14" ht="20.25" customHeight="1">
      <c r="A775" s="106">
        <v>775</v>
      </c>
      <c r="B775" s="169"/>
      <c r="C775" s="174">
        <v>3514</v>
      </c>
      <c r="D775" s="149" t="s">
        <v>86</v>
      </c>
      <c r="E775" s="149">
        <f ca="1">schedule3_total!C114</f>
        <v>0</v>
      </c>
      <c r="F775" s="149">
        <f ca="1">schedule3_total!D114</f>
        <v>0</v>
      </c>
      <c r="G775" s="149">
        <f ca="1">schedule3_total!E114</f>
        <v>0</v>
      </c>
      <c r="H775" s="149">
        <f ca="1">schedule3_total!F114</f>
        <v>0</v>
      </c>
      <c r="I775" s="57"/>
      <c r="J775" s="149">
        <f ca="1">schedule3_total!H114</f>
        <v>0</v>
      </c>
      <c r="K775" s="149">
        <f ca="1">schedule3_total!I114</f>
        <v>0</v>
      </c>
      <c r="L775" s="4"/>
      <c r="M775" s="106"/>
      <c r="N775" s="4"/>
    </row>
    <row r="776" spans="1:14" ht="20.25" customHeight="1">
      <c r="A776" s="106">
        <v>776</v>
      </c>
      <c r="B776" s="4"/>
      <c r="C776" s="174">
        <v>3515</v>
      </c>
      <c r="D776" s="149" t="s">
        <v>87</v>
      </c>
      <c r="E776" s="149">
        <f ca="1">schedule3_total!C115</f>
        <v>68931.12</v>
      </c>
      <c r="F776" s="149">
        <f ca="1">schedule3_total!D115</f>
        <v>12346</v>
      </c>
      <c r="G776" s="149">
        <f ca="1">schedule3_total!E115</f>
        <v>0</v>
      </c>
      <c r="H776" s="149">
        <f ca="1">schedule3_total!F115</f>
        <v>0</v>
      </c>
      <c r="I776" s="57"/>
      <c r="J776" s="149">
        <f ca="1">schedule3_total!H115</f>
        <v>81277</v>
      </c>
      <c r="K776" s="149">
        <f ca="1">schedule3_total!I115</f>
        <v>0</v>
      </c>
      <c r="L776" s="4"/>
      <c r="M776" s="106"/>
      <c r="N776" s="4"/>
    </row>
    <row r="777" spans="1:14" ht="20.25" customHeight="1">
      <c r="A777" s="106">
        <v>777</v>
      </c>
      <c r="B777" s="4"/>
      <c r="C777" s="174">
        <v>3516</v>
      </c>
      <c r="D777" s="149" t="s">
        <v>88</v>
      </c>
      <c r="E777" s="149">
        <f ca="1">schedule3_total!C116</f>
        <v>0</v>
      </c>
      <c r="F777" s="149">
        <f ca="1">schedule3_total!D116</f>
        <v>0</v>
      </c>
      <c r="G777" s="149">
        <f ca="1">schedule3_total!E116</f>
        <v>0</v>
      </c>
      <c r="H777" s="149">
        <f ca="1">schedule3_total!F116</f>
        <v>0</v>
      </c>
      <c r="I777" s="57"/>
      <c r="J777" s="149">
        <f ca="1">schedule3_total!H116</f>
        <v>0</v>
      </c>
      <c r="K777" s="149">
        <f ca="1">schedule3_total!I116</f>
        <v>0</v>
      </c>
      <c r="L777" s="4"/>
      <c r="M777" s="106"/>
      <c r="N777" s="4"/>
    </row>
    <row r="778" spans="1:14" ht="20.25" customHeight="1">
      <c r="A778" s="106">
        <v>778</v>
      </c>
      <c r="B778" s="169"/>
      <c r="C778" s="174">
        <v>3519</v>
      </c>
      <c r="D778" s="175" t="s">
        <v>89</v>
      </c>
      <c r="E778" s="149">
        <f ca="1">schedule3_total!C117</f>
        <v>68931</v>
      </c>
      <c r="F778" s="149">
        <f ca="1">schedule3_total!D117</f>
        <v>12346</v>
      </c>
      <c r="G778" s="149">
        <f ca="1">schedule3_total!E117</f>
        <v>0</v>
      </c>
      <c r="H778" s="149">
        <f ca="1">schedule3_total!F117</f>
        <v>0</v>
      </c>
      <c r="I778" s="57"/>
      <c r="J778" s="149">
        <f ca="1">schedule3_total!H117</f>
        <v>81277</v>
      </c>
      <c r="K778" s="149">
        <f ca="1">schedule3_total!I117</f>
        <v>0</v>
      </c>
      <c r="L778" s="4"/>
      <c r="M778" s="106"/>
      <c r="N778" s="4"/>
    </row>
    <row r="779" spans="1:14" ht="20.25" customHeight="1">
      <c r="A779" s="106"/>
      <c r="B779" s="4"/>
      <c r="C779" s="181"/>
      <c r="D779" s="177" t="s">
        <v>120</v>
      </c>
      <c r="E779" s="18"/>
      <c r="F779" s="18"/>
      <c r="G779" s="18"/>
      <c r="H779" s="18"/>
      <c r="I779" s="18"/>
      <c r="J779" s="18"/>
      <c r="K779" s="18"/>
      <c r="L779" s="4"/>
      <c r="M779" s="106"/>
      <c r="N779" s="4"/>
    </row>
    <row r="780" spans="1:14" ht="20.25" customHeight="1">
      <c r="A780" s="106">
        <v>780</v>
      </c>
      <c r="B780" s="169"/>
      <c r="C780" s="174">
        <v>3524</v>
      </c>
      <c r="D780" s="149" t="s">
        <v>86</v>
      </c>
      <c r="E780" s="149">
        <f ca="1">schedule3_total!C119</f>
        <v>0</v>
      </c>
      <c r="F780" s="149">
        <f ca="1">schedule3_total!D119</f>
        <v>0</v>
      </c>
      <c r="G780" s="149">
        <f ca="1">schedule3_total!E119</f>
        <v>0</v>
      </c>
      <c r="H780" s="149">
        <f ca="1">schedule3_total!F119</f>
        <v>0</v>
      </c>
      <c r="I780" s="57"/>
      <c r="J780" s="149">
        <f ca="1">schedule3_total!H119</f>
        <v>0</v>
      </c>
      <c r="K780" s="57"/>
      <c r="L780" s="4"/>
      <c r="M780" s="106"/>
      <c r="N780" s="4"/>
    </row>
    <row r="781" spans="1:14" ht="20.25" customHeight="1">
      <c r="A781" s="106">
        <v>781</v>
      </c>
      <c r="B781" s="4"/>
      <c r="C781" s="174">
        <v>3525</v>
      </c>
      <c r="D781" s="149" t="s">
        <v>87</v>
      </c>
      <c r="E781" s="149">
        <f ca="1">schedule3_total!C120</f>
        <v>54469.61</v>
      </c>
      <c r="F781" s="149">
        <f ca="1">schedule3_total!D120</f>
        <v>0</v>
      </c>
      <c r="G781" s="149">
        <f ca="1">schedule3_total!E120</f>
        <v>0</v>
      </c>
      <c r="H781" s="149">
        <f ca="1">schedule3_total!F120</f>
        <v>0</v>
      </c>
      <c r="I781" s="57"/>
      <c r="J781" s="149">
        <f ca="1">schedule3_total!H120</f>
        <v>54470</v>
      </c>
      <c r="K781" s="57"/>
      <c r="L781" s="4"/>
      <c r="M781" s="106"/>
      <c r="N781" s="4"/>
    </row>
    <row r="782" spans="1:14" ht="20.25" customHeight="1">
      <c r="A782" s="106">
        <v>782</v>
      </c>
      <c r="B782" s="4"/>
      <c r="C782" s="174">
        <v>3526</v>
      </c>
      <c r="D782" s="149" t="s">
        <v>88</v>
      </c>
      <c r="E782" s="149">
        <f ca="1">schedule3_total!C121</f>
        <v>0</v>
      </c>
      <c r="F782" s="149">
        <f ca="1">schedule3_total!D121</f>
        <v>0</v>
      </c>
      <c r="G782" s="149">
        <f ca="1">schedule3_total!E121</f>
        <v>0</v>
      </c>
      <c r="H782" s="149">
        <f ca="1">schedule3_total!F121</f>
        <v>0</v>
      </c>
      <c r="I782" s="57"/>
      <c r="J782" s="149">
        <f ca="1">schedule3_total!H121</f>
        <v>0</v>
      </c>
      <c r="K782" s="57"/>
      <c r="L782" s="4"/>
      <c r="M782" s="106"/>
      <c r="N782" s="4"/>
    </row>
    <row r="783" spans="1:14" ht="20.25" customHeight="1">
      <c r="A783" s="106">
        <v>783</v>
      </c>
      <c r="B783" s="169"/>
      <c r="C783" s="174">
        <v>3529</v>
      </c>
      <c r="D783" s="175" t="s">
        <v>89</v>
      </c>
      <c r="E783" s="149">
        <f ca="1">schedule3_total!C122</f>
        <v>54470</v>
      </c>
      <c r="F783" s="149">
        <f ca="1">schedule3_total!D122</f>
        <v>0</v>
      </c>
      <c r="G783" s="149">
        <f ca="1">schedule3_total!E122</f>
        <v>0</v>
      </c>
      <c r="H783" s="149">
        <f ca="1">schedule3_total!F122</f>
        <v>0</v>
      </c>
      <c r="I783" s="57"/>
      <c r="J783" s="149">
        <f ca="1">schedule3_total!H122</f>
        <v>54470</v>
      </c>
      <c r="K783" s="57"/>
      <c r="L783" s="4"/>
      <c r="M783" s="106"/>
      <c r="N783" s="4"/>
    </row>
    <row r="784" spans="1:14" ht="20.25" customHeight="1">
      <c r="A784" s="106"/>
      <c r="B784" s="4"/>
      <c r="C784" s="181"/>
      <c r="D784" s="177" t="s">
        <v>121</v>
      </c>
      <c r="E784" s="18"/>
      <c r="F784" s="18"/>
      <c r="G784" s="18"/>
      <c r="H784" s="18"/>
      <c r="I784" s="18"/>
      <c r="J784" s="18"/>
      <c r="K784" s="18"/>
      <c r="L784" s="4"/>
      <c r="M784" s="106"/>
      <c r="N784" s="4"/>
    </row>
    <row r="785" spans="1:14" ht="20.25" customHeight="1">
      <c r="A785" s="106">
        <v>785</v>
      </c>
      <c r="B785" s="169"/>
      <c r="C785" s="174">
        <v>3535</v>
      </c>
      <c r="D785" s="149" t="s">
        <v>87</v>
      </c>
      <c r="E785" s="59">
        <f ca="1">schedule3_total!C124</f>
        <v>60898.41</v>
      </c>
      <c r="F785" s="59">
        <f ca="1">schedule3_total!D124</f>
        <v>0</v>
      </c>
      <c r="G785" s="59">
        <f ca="1">schedule3_total!E124</f>
        <v>0</v>
      </c>
      <c r="H785" s="59">
        <f ca="1">schedule3_total!F124</f>
        <v>0</v>
      </c>
      <c r="I785" s="57"/>
      <c r="J785" s="149">
        <f ca="1">schedule3_total!H124</f>
        <v>60898</v>
      </c>
      <c r="K785" s="57"/>
      <c r="L785" s="4"/>
      <c r="M785" s="106"/>
      <c r="N785" s="4"/>
    </row>
    <row r="786" spans="1:14" ht="20.25" customHeight="1">
      <c r="A786" s="106"/>
      <c r="B786" s="4"/>
      <c r="C786" s="176"/>
      <c r="D786" s="177" t="s">
        <v>122</v>
      </c>
      <c r="E786" s="18"/>
      <c r="F786" s="18"/>
      <c r="G786" s="18"/>
      <c r="H786" s="18"/>
      <c r="I786" s="18"/>
      <c r="J786" s="18"/>
      <c r="K786" s="18"/>
      <c r="L786" s="4"/>
      <c r="M786" s="106"/>
      <c r="N786" s="4"/>
    </row>
    <row r="787" spans="1:14" ht="20.25" customHeight="1">
      <c r="A787" s="106">
        <v>787</v>
      </c>
      <c r="B787" s="4"/>
      <c r="C787" s="174">
        <v>3540</v>
      </c>
      <c r="D787" s="149" t="s">
        <v>85</v>
      </c>
      <c r="E787" s="149">
        <f ca="1">schedule3_total!C126</f>
        <v>0</v>
      </c>
      <c r="F787" s="149">
        <f ca="1">schedule3_total!D126</f>
        <v>0</v>
      </c>
      <c r="G787" s="149">
        <f ca="1">schedule3_total!E126</f>
        <v>0</v>
      </c>
      <c r="H787" s="149">
        <f ca="1">schedule3_total!F126</f>
        <v>0</v>
      </c>
      <c r="I787" s="57"/>
      <c r="J787" s="149">
        <f ca="1">schedule3_total!H126</f>
        <v>0</v>
      </c>
      <c r="K787" s="57"/>
      <c r="L787" s="4"/>
      <c r="M787" s="106"/>
      <c r="N787" s="4"/>
    </row>
    <row r="788" spans="1:14" ht="20.25" customHeight="1">
      <c r="A788" s="106">
        <v>788</v>
      </c>
      <c r="B788" s="4"/>
      <c r="C788" s="174">
        <v>3541</v>
      </c>
      <c r="D788" s="149" t="s">
        <v>86</v>
      </c>
      <c r="E788" s="149">
        <f ca="1">schedule3_total!C127</f>
        <v>8205</v>
      </c>
      <c r="F788" s="149">
        <f ca="1">schedule3_total!D127</f>
        <v>0</v>
      </c>
      <c r="G788" s="149">
        <f ca="1">schedule3_total!E127</f>
        <v>0</v>
      </c>
      <c r="H788" s="149">
        <f ca="1">schedule3_total!F127</f>
        <v>0</v>
      </c>
      <c r="I788" s="57"/>
      <c r="J788" s="149">
        <f ca="1">schedule3_total!H127</f>
        <v>8205</v>
      </c>
      <c r="K788" s="57"/>
      <c r="L788" s="4"/>
      <c r="M788" s="106"/>
      <c r="N788" s="4"/>
    </row>
    <row r="789" spans="1:14" ht="20.25" customHeight="1">
      <c r="A789" s="106">
        <v>789</v>
      </c>
      <c r="B789" s="4"/>
      <c r="C789" s="174">
        <v>3542</v>
      </c>
      <c r="D789" s="149" t="s">
        <v>87</v>
      </c>
      <c r="E789" s="149">
        <f ca="1">schedule3_total!C128</f>
        <v>8275.27</v>
      </c>
      <c r="F789" s="149">
        <f ca="1">schedule3_total!D128</f>
        <v>0</v>
      </c>
      <c r="G789" s="149">
        <f ca="1">schedule3_total!E128</f>
        <v>0</v>
      </c>
      <c r="H789" s="149">
        <f ca="1">schedule3_total!F128</f>
        <v>0</v>
      </c>
      <c r="I789" s="57"/>
      <c r="J789" s="149">
        <f ca="1">schedule3_total!H128</f>
        <v>8275</v>
      </c>
      <c r="K789" s="57"/>
      <c r="L789" s="4"/>
      <c r="M789" s="106"/>
      <c r="N789" s="4"/>
    </row>
    <row r="790" spans="1:14" ht="20.25" customHeight="1">
      <c r="A790" s="106">
        <v>790</v>
      </c>
      <c r="B790" s="169"/>
      <c r="C790" s="174">
        <v>3543</v>
      </c>
      <c r="D790" s="149" t="s">
        <v>88</v>
      </c>
      <c r="E790" s="149">
        <f ca="1">schedule3_total!C129</f>
        <v>4365</v>
      </c>
      <c r="F790" s="149">
        <f ca="1">schedule3_total!D129</f>
        <v>0</v>
      </c>
      <c r="G790" s="149">
        <f ca="1">schedule3_total!E129</f>
        <v>0</v>
      </c>
      <c r="H790" s="149">
        <f ca="1">schedule3_total!F129</f>
        <v>0</v>
      </c>
      <c r="I790" s="57"/>
      <c r="J790" s="149">
        <f ca="1">schedule3_total!H129</f>
        <v>4365</v>
      </c>
      <c r="K790" s="57"/>
      <c r="L790" s="4"/>
      <c r="M790" s="106"/>
      <c r="N790" s="4"/>
    </row>
    <row r="791" spans="1:14" ht="20.25" customHeight="1">
      <c r="A791" s="106">
        <v>791</v>
      </c>
      <c r="B791" s="169"/>
      <c r="C791" s="174">
        <v>3544</v>
      </c>
      <c r="D791" s="175" t="s">
        <v>89</v>
      </c>
      <c r="E791" s="149">
        <f ca="1">schedule3_total!C130</f>
        <v>20845</v>
      </c>
      <c r="F791" s="149">
        <f ca="1">schedule3_total!D130</f>
        <v>0</v>
      </c>
      <c r="G791" s="149">
        <f ca="1">schedule3_total!E130</f>
        <v>0</v>
      </c>
      <c r="H791" s="149">
        <f ca="1">schedule3_total!F130</f>
        <v>0</v>
      </c>
      <c r="I791" s="57"/>
      <c r="J791" s="149">
        <f ca="1">schedule3_total!H130</f>
        <v>20845</v>
      </c>
      <c r="K791" s="57"/>
      <c r="L791" s="4"/>
      <c r="M791" s="106"/>
      <c r="N791" s="4"/>
    </row>
    <row r="792" spans="1:14" ht="20.25" customHeight="1">
      <c r="A792" s="106"/>
      <c r="B792" s="4"/>
      <c r="C792" s="181"/>
      <c r="D792" s="13" t="s">
        <v>123</v>
      </c>
      <c r="E792" s="18"/>
      <c r="F792" s="18"/>
      <c r="G792" s="18"/>
      <c r="H792" s="18"/>
      <c r="I792" s="18"/>
      <c r="J792" s="18"/>
      <c r="K792" s="18"/>
      <c r="L792" s="4"/>
      <c r="M792" s="106"/>
      <c r="N792" s="4"/>
    </row>
    <row r="793" spans="1:14" ht="20.25" customHeight="1">
      <c r="A793" s="106">
        <v>793</v>
      </c>
      <c r="B793" s="169"/>
      <c r="C793" s="174">
        <v>3545</v>
      </c>
      <c r="D793" s="149" t="s">
        <v>86</v>
      </c>
      <c r="E793" s="149">
        <f ca="1">schedule3_total!C132</f>
        <v>50357.68</v>
      </c>
      <c r="F793" s="149">
        <f ca="1">schedule3_total!D132</f>
        <v>0</v>
      </c>
      <c r="G793" s="149">
        <f ca="1">schedule3_total!E132</f>
        <v>0</v>
      </c>
      <c r="H793" s="149">
        <f ca="1">schedule3_total!F132</f>
        <v>0</v>
      </c>
      <c r="I793" s="57"/>
      <c r="J793" s="149">
        <f ca="1">schedule3_total!H132</f>
        <v>50358</v>
      </c>
      <c r="K793" s="57"/>
      <c r="L793" s="4"/>
      <c r="M793" s="106"/>
      <c r="N793" s="4"/>
    </row>
    <row r="794" spans="1:14" ht="20.25" customHeight="1">
      <c r="A794" s="106">
        <v>794</v>
      </c>
      <c r="B794" s="4"/>
      <c r="C794" s="174">
        <v>3546</v>
      </c>
      <c r="D794" s="149" t="s">
        <v>87</v>
      </c>
      <c r="E794" s="149">
        <f ca="1">schedule3_total!C133</f>
        <v>10363.799999999999</v>
      </c>
      <c r="F794" s="149">
        <f ca="1">schedule3_total!D133</f>
        <v>0</v>
      </c>
      <c r="G794" s="149">
        <f ca="1">schedule3_total!E133</f>
        <v>0</v>
      </c>
      <c r="H794" s="149">
        <f ca="1">schedule3_total!F133</f>
        <v>0</v>
      </c>
      <c r="I794" s="57"/>
      <c r="J794" s="149">
        <f ca="1">schedule3_total!H133</f>
        <v>10364</v>
      </c>
      <c r="K794" s="57"/>
      <c r="L794" s="4"/>
      <c r="M794" s="106"/>
      <c r="N794" s="4"/>
    </row>
    <row r="795" spans="1:14" ht="20.25" customHeight="1">
      <c r="A795" s="106">
        <v>795</v>
      </c>
      <c r="B795" s="4"/>
      <c r="C795" s="174">
        <v>3547</v>
      </c>
      <c r="D795" s="149" t="s">
        <v>88</v>
      </c>
      <c r="E795" s="149">
        <f ca="1">schedule3_total!C134</f>
        <v>0</v>
      </c>
      <c r="F795" s="149">
        <f ca="1">schedule3_total!D134</f>
        <v>0</v>
      </c>
      <c r="G795" s="149">
        <f ca="1">schedule3_total!E134</f>
        <v>0</v>
      </c>
      <c r="H795" s="149">
        <f ca="1">schedule3_total!F134</f>
        <v>0</v>
      </c>
      <c r="I795" s="57"/>
      <c r="J795" s="149">
        <f ca="1">schedule3_total!H134</f>
        <v>0</v>
      </c>
      <c r="K795" s="57"/>
      <c r="L795" s="4"/>
      <c r="M795" s="106"/>
      <c r="N795" s="4"/>
    </row>
    <row r="796" spans="1:14" ht="20.25" customHeight="1">
      <c r="A796" s="106">
        <v>796</v>
      </c>
      <c r="B796" s="169"/>
      <c r="C796" s="174">
        <v>3548</v>
      </c>
      <c r="D796" s="175" t="s">
        <v>89</v>
      </c>
      <c r="E796" s="149">
        <f ca="1">schedule3_total!C135</f>
        <v>60721</v>
      </c>
      <c r="F796" s="149">
        <f ca="1">schedule3_total!D135</f>
        <v>0</v>
      </c>
      <c r="G796" s="149">
        <f ca="1">schedule3_total!E135</f>
        <v>0</v>
      </c>
      <c r="H796" s="149">
        <f ca="1">schedule3_total!F135</f>
        <v>0</v>
      </c>
      <c r="I796" s="57"/>
      <c r="J796" s="149">
        <f ca="1">schedule3_total!H135</f>
        <v>60721</v>
      </c>
      <c r="K796" s="57"/>
      <c r="L796" s="4"/>
      <c r="M796" s="106"/>
      <c r="N796" s="4"/>
    </row>
    <row r="797" spans="1:14" ht="20.25" customHeight="1">
      <c r="A797" s="106"/>
      <c r="B797" s="4"/>
      <c r="C797" s="181"/>
      <c r="D797" s="13" t="s">
        <v>124</v>
      </c>
      <c r="E797" s="18"/>
      <c r="F797" s="18"/>
      <c r="G797" s="18"/>
      <c r="H797" s="18"/>
      <c r="I797" s="18"/>
      <c r="J797" s="18"/>
      <c r="K797" s="18"/>
      <c r="L797" s="4"/>
      <c r="M797" s="106"/>
      <c r="N797" s="4"/>
    </row>
    <row r="798" spans="1:14" ht="20.25" customHeight="1">
      <c r="A798" s="106">
        <v>798</v>
      </c>
      <c r="B798" s="169"/>
      <c r="C798" s="174">
        <v>3549</v>
      </c>
      <c r="D798" s="149" t="s">
        <v>86</v>
      </c>
      <c r="E798" s="149">
        <f ca="1">schedule3_total!C137</f>
        <v>0</v>
      </c>
      <c r="F798" s="149">
        <f ca="1">schedule3_total!D137</f>
        <v>0</v>
      </c>
      <c r="G798" s="149">
        <f ca="1">schedule3_total!E137</f>
        <v>0</v>
      </c>
      <c r="H798" s="149">
        <f ca="1">schedule3_total!F137</f>
        <v>0</v>
      </c>
      <c r="I798" s="57"/>
      <c r="J798" s="149">
        <f ca="1">schedule3_total!H137</f>
        <v>0</v>
      </c>
      <c r="K798" s="57"/>
      <c r="L798" s="4"/>
      <c r="M798" s="106"/>
      <c r="N798" s="4"/>
    </row>
    <row r="799" spans="1:14" ht="20.25" customHeight="1">
      <c r="A799" s="106">
        <v>799</v>
      </c>
      <c r="B799" s="4"/>
      <c r="C799" s="174">
        <v>3550</v>
      </c>
      <c r="D799" s="149" t="s">
        <v>87</v>
      </c>
      <c r="E799" s="149">
        <f ca="1">schedule3_total!C138</f>
        <v>0</v>
      </c>
      <c r="F799" s="149">
        <f ca="1">schedule3_total!D138</f>
        <v>0</v>
      </c>
      <c r="G799" s="149">
        <f ca="1">schedule3_total!E138</f>
        <v>0</v>
      </c>
      <c r="H799" s="149">
        <f ca="1">schedule3_total!F138</f>
        <v>0</v>
      </c>
      <c r="I799" s="57"/>
      <c r="J799" s="149">
        <f ca="1">schedule3_total!H138</f>
        <v>0</v>
      </c>
      <c r="K799" s="57"/>
      <c r="L799" s="4"/>
      <c r="M799" s="106"/>
      <c r="N799" s="4"/>
    </row>
    <row r="800" spans="1:14" ht="20.25" customHeight="1">
      <c r="A800" s="106">
        <v>800</v>
      </c>
      <c r="B800" s="4"/>
      <c r="C800" s="174">
        <v>3551</v>
      </c>
      <c r="D800" s="149" t="s">
        <v>88</v>
      </c>
      <c r="E800" s="149">
        <f ca="1">schedule3_total!C139</f>
        <v>0</v>
      </c>
      <c r="F800" s="149">
        <f ca="1">schedule3_total!D139</f>
        <v>0</v>
      </c>
      <c r="G800" s="149">
        <f ca="1">schedule3_total!E139</f>
        <v>0</v>
      </c>
      <c r="H800" s="149">
        <f ca="1">schedule3_total!F139</f>
        <v>0</v>
      </c>
      <c r="I800" s="57"/>
      <c r="J800" s="149">
        <f ca="1">schedule3_total!H139</f>
        <v>0</v>
      </c>
      <c r="K800" s="57"/>
      <c r="L800" s="4"/>
      <c r="M800" s="106"/>
      <c r="N800" s="4"/>
    </row>
    <row r="801" spans="1:14" ht="20.25" customHeight="1">
      <c r="A801" s="106">
        <v>801</v>
      </c>
      <c r="B801" s="169"/>
      <c r="C801" s="174">
        <v>3552</v>
      </c>
      <c r="D801" s="175" t="s">
        <v>89</v>
      </c>
      <c r="E801" s="149">
        <f ca="1">schedule3_total!C140</f>
        <v>0</v>
      </c>
      <c r="F801" s="149">
        <f ca="1">schedule3_total!D140</f>
        <v>0</v>
      </c>
      <c r="G801" s="149">
        <f ca="1">schedule3_total!E140</f>
        <v>0</v>
      </c>
      <c r="H801" s="149">
        <f ca="1">schedule3_total!F140</f>
        <v>0</v>
      </c>
      <c r="I801" s="57"/>
      <c r="J801" s="149">
        <f ca="1">schedule3_total!H140</f>
        <v>0</v>
      </c>
      <c r="K801" s="57"/>
      <c r="L801" s="4"/>
      <c r="M801" s="106"/>
      <c r="N801" s="4"/>
    </row>
    <row r="802" spans="1:14" ht="20.25" customHeight="1">
      <c r="A802" s="106"/>
      <c r="B802" s="4"/>
      <c r="C802" s="181"/>
      <c r="D802" s="13" t="s">
        <v>125</v>
      </c>
      <c r="E802" s="18"/>
      <c r="F802" s="18"/>
      <c r="G802" s="18"/>
      <c r="H802" s="18"/>
      <c r="I802" s="18"/>
      <c r="J802" s="18"/>
      <c r="K802" s="18"/>
      <c r="L802" s="4"/>
      <c r="M802" s="106"/>
      <c r="N802" s="4"/>
    </row>
    <row r="803" spans="1:14" ht="20.25" customHeight="1">
      <c r="A803" s="106">
        <v>803</v>
      </c>
      <c r="B803" s="169"/>
      <c r="C803" s="174">
        <v>3553</v>
      </c>
      <c r="D803" s="149" t="s">
        <v>86</v>
      </c>
      <c r="E803" s="149">
        <f ca="1">schedule3_total!C142</f>
        <v>2866</v>
      </c>
      <c r="F803" s="149">
        <f ca="1">schedule3_total!D142</f>
        <v>0</v>
      </c>
      <c r="G803" s="149">
        <f ca="1">schedule3_total!E142</f>
        <v>0</v>
      </c>
      <c r="H803" s="149">
        <f ca="1">schedule3_total!F142</f>
        <v>0</v>
      </c>
      <c r="I803" s="57"/>
      <c r="J803" s="149">
        <f ca="1">schedule3_total!H142</f>
        <v>2866</v>
      </c>
      <c r="K803" s="57"/>
      <c r="L803" s="4"/>
      <c r="M803" s="106"/>
      <c r="N803" s="4"/>
    </row>
    <row r="804" spans="1:14" ht="20.25" customHeight="1">
      <c r="A804" s="106">
        <v>804</v>
      </c>
      <c r="B804" s="4"/>
      <c r="C804" s="174">
        <v>3554</v>
      </c>
      <c r="D804" s="149" t="s">
        <v>87</v>
      </c>
      <c r="E804" s="149">
        <f ca="1">schedule3_total!C143</f>
        <v>0</v>
      </c>
      <c r="F804" s="149">
        <f ca="1">schedule3_total!D143</f>
        <v>0</v>
      </c>
      <c r="G804" s="149">
        <f ca="1">schedule3_total!E143</f>
        <v>0</v>
      </c>
      <c r="H804" s="149">
        <f ca="1">schedule3_total!F143</f>
        <v>0</v>
      </c>
      <c r="I804" s="57"/>
      <c r="J804" s="149">
        <f ca="1">schedule3_total!H143</f>
        <v>0</v>
      </c>
      <c r="K804" s="57"/>
      <c r="L804" s="4"/>
      <c r="M804" s="106"/>
      <c r="N804" s="4"/>
    </row>
    <row r="805" spans="1:14" ht="20.25" customHeight="1">
      <c r="A805" s="106">
        <v>805</v>
      </c>
      <c r="B805" s="4"/>
      <c r="C805" s="174">
        <v>3555</v>
      </c>
      <c r="D805" s="149" t="s">
        <v>88</v>
      </c>
      <c r="E805" s="149">
        <f ca="1">schedule3_total!C144</f>
        <v>0</v>
      </c>
      <c r="F805" s="149">
        <f ca="1">schedule3_total!D144</f>
        <v>0</v>
      </c>
      <c r="G805" s="149">
        <f ca="1">schedule3_total!E144</f>
        <v>0</v>
      </c>
      <c r="H805" s="149">
        <f ca="1">schedule3_total!F144</f>
        <v>0</v>
      </c>
      <c r="I805" s="57"/>
      <c r="J805" s="149">
        <f ca="1">schedule3_total!H144</f>
        <v>0</v>
      </c>
      <c r="K805" s="57"/>
      <c r="L805" s="4"/>
      <c r="M805" s="106"/>
      <c r="N805" s="4"/>
    </row>
    <row r="806" spans="1:14" ht="20.25" customHeight="1">
      <c r="A806" s="106">
        <v>806</v>
      </c>
      <c r="B806" s="169"/>
      <c r="C806" s="174">
        <v>3556</v>
      </c>
      <c r="D806" s="175" t="s">
        <v>89</v>
      </c>
      <c r="E806" s="149">
        <f ca="1">schedule3_total!C145</f>
        <v>2866</v>
      </c>
      <c r="F806" s="149">
        <f ca="1">schedule3_total!D145</f>
        <v>0</v>
      </c>
      <c r="G806" s="149">
        <f ca="1">schedule3_total!E145</f>
        <v>0</v>
      </c>
      <c r="H806" s="149">
        <f ca="1">schedule3_total!F145</f>
        <v>0</v>
      </c>
      <c r="I806" s="57"/>
      <c r="J806" s="149">
        <f ca="1">schedule3_total!H145</f>
        <v>2866</v>
      </c>
      <c r="K806" s="57"/>
      <c r="L806" s="4"/>
      <c r="M806" s="106"/>
      <c r="N806" s="4"/>
    </row>
    <row r="807" spans="1:14" ht="20.25" customHeight="1">
      <c r="A807" s="106"/>
      <c r="B807" s="4"/>
      <c r="C807" s="181"/>
      <c r="D807" s="177" t="s">
        <v>293</v>
      </c>
      <c r="E807" s="18"/>
      <c r="F807" s="18"/>
      <c r="G807" s="18"/>
      <c r="H807" s="18"/>
      <c r="I807" s="18"/>
      <c r="J807" s="18"/>
      <c r="K807" s="18"/>
      <c r="L807" s="4"/>
      <c r="M807" s="106"/>
      <c r="N807" s="4"/>
    </row>
    <row r="808" spans="1:14" ht="20.25" customHeight="1">
      <c r="A808" s="106">
        <v>808</v>
      </c>
      <c r="B808" s="169"/>
      <c r="C808" s="174">
        <v>3561</v>
      </c>
      <c r="D808" s="149" t="s">
        <v>91</v>
      </c>
      <c r="E808" s="149">
        <f ca="1">schedule3_total!C147</f>
        <v>324799</v>
      </c>
      <c r="F808" s="149">
        <f ca="1">schedule3_total!D147</f>
        <v>191557</v>
      </c>
      <c r="G808" s="149">
        <f ca="1">schedule3_total!E147</f>
        <v>0</v>
      </c>
      <c r="H808" s="149">
        <f ca="1">schedule3_total!F147</f>
        <v>0</v>
      </c>
      <c r="I808" s="57"/>
      <c r="J808" s="149">
        <f ca="1">schedule3_total!H147</f>
        <v>516356</v>
      </c>
      <c r="K808" s="57"/>
      <c r="L808" s="4"/>
      <c r="M808" s="106"/>
      <c r="N808" s="4"/>
    </row>
    <row r="809" spans="1:14" ht="20.25" customHeight="1">
      <c r="A809" s="106">
        <v>809</v>
      </c>
      <c r="B809" s="4"/>
      <c r="C809" s="174">
        <v>3562</v>
      </c>
      <c r="D809" s="149" t="s">
        <v>84</v>
      </c>
      <c r="E809" s="149">
        <f ca="1">schedule3_total!C148</f>
        <v>38864.720000000001</v>
      </c>
      <c r="F809" s="149">
        <f ca="1">schedule3_total!D148</f>
        <v>0</v>
      </c>
      <c r="G809" s="149">
        <f ca="1">schedule3_total!E148</f>
        <v>0</v>
      </c>
      <c r="H809" s="149">
        <f ca="1">schedule3_total!F148</f>
        <v>0</v>
      </c>
      <c r="I809" s="57"/>
      <c r="J809" s="149">
        <f ca="1">schedule3_total!H148</f>
        <v>38865</v>
      </c>
      <c r="K809" s="57"/>
      <c r="L809" s="4"/>
      <c r="M809" s="106"/>
      <c r="N809" s="4"/>
    </row>
    <row r="810" spans="1:14" ht="20.25" customHeight="1">
      <c r="A810" s="106">
        <v>810</v>
      </c>
      <c r="B810" s="4"/>
      <c r="C810" s="174">
        <v>3563</v>
      </c>
      <c r="D810" s="149" t="s">
        <v>85</v>
      </c>
      <c r="E810" s="149">
        <f ca="1">schedule3_total!C149</f>
        <v>5431.53</v>
      </c>
      <c r="F810" s="149">
        <f ca="1">schedule3_total!D149</f>
        <v>0</v>
      </c>
      <c r="G810" s="149">
        <f ca="1">schedule3_total!E149</f>
        <v>0</v>
      </c>
      <c r="H810" s="149">
        <f ca="1">schedule3_total!F149</f>
        <v>0</v>
      </c>
      <c r="I810" s="57"/>
      <c r="J810" s="149">
        <f ca="1">schedule3_total!H149</f>
        <v>5432</v>
      </c>
      <c r="K810" s="57"/>
      <c r="L810" s="4"/>
      <c r="M810" s="106"/>
      <c r="N810" s="4"/>
    </row>
    <row r="811" spans="1:14" ht="20.25" customHeight="1">
      <c r="A811" s="106">
        <v>811</v>
      </c>
      <c r="B811" s="169"/>
      <c r="C811" s="174">
        <v>3564</v>
      </c>
      <c r="D811" s="149" t="s">
        <v>86</v>
      </c>
      <c r="E811" s="149">
        <f ca="1">schedule3_total!C150</f>
        <v>13887.26</v>
      </c>
      <c r="F811" s="149">
        <f ca="1">schedule3_total!D150</f>
        <v>0</v>
      </c>
      <c r="G811" s="149">
        <f ca="1">schedule3_total!E150</f>
        <v>0</v>
      </c>
      <c r="H811" s="149">
        <f ca="1">schedule3_total!F150</f>
        <v>0</v>
      </c>
      <c r="I811" s="57"/>
      <c r="J811" s="149">
        <f ca="1">schedule3_total!H150</f>
        <v>13887</v>
      </c>
      <c r="K811" s="57"/>
      <c r="L811" s="4"/>
      <c r="M811" s="106"/>
      <c r="N811" s="4"/>
    </row>
    <row r="812" spans="1:14" ht="20.25" customHeight="1">
      <c r="A812" s="106">
        <v>812</v>
      </c>
      <c r="B812" s="169"/>
      <c r="C812" s="174">
        <v>3565</v>
      </c>
      <c r="D812" s="149" t="s">
        <v>87</v>
      </c>
      <c r="E812" s="149">
        <f ca="1">schedule3_total!C151</f>
        <v>10116.58</v>
      </c>
      <c r="F812" s="149">
        <f ca="1">schedule3_total!D151</f>
        <v>1253</v>
      </c>
      <c r="G812" s="149">
        <f ca="1">schedule3_total!E151</f>
        <v>0</v>
      </c>
      <c r="H812" s="149">
        <f ca="1">schedule3_total!F151</f>
        <v>0</v>
      </c>
      <c r="I812" s="57"/>
      <c r="J812" s="149">
        <f ca="1">schedule3_total!H151</f>
        <v>11370</v>
      </c>
      <c r="K812" s="57"/>
      <c r="L812" s="4"/>
      <c r="M812" s="106"/>
      <c r="N812" s="4"/>
    </row>
    <row r="813" spans="1:14" ht="20.25" customHeight="1">
      <c r="A813" s="106">
        <v>813</v>
      </c>
      <c r="B813" s="169"/>
      <c r="C813" s="174">
        <v>3566</v>
      </c>
      <c r="D813" s="149" t="s">
        <v>88</v>
      </c>
      <c r="E813" s="149">
        <f ca="1">schedule3_total!C152</f>
        <v>12481</v>
      </c>
      <c r="F813" s="149">
        <f ca="1">schedule3_total!D152</f>
        <v>0</v>
      </c>
      <c r="G813" s="149">
        <f ca="1">schedule3_total!E152</f>
        <v>0</v>
      </c>
      <c r="H813" s="149">
        <f ca="1">schedule3_total!F152</f>
        <v>0</v>
      </c>
      <c r="I813" s="57"/>
      <c r="J813" s="149">
        <f ca="1">schedule3_total!H152</f>
        <v>12481</v>
      </c>
      <c r="K813" s="57"/>
      <c r="L813" s="4"/>
      <c r="M813" s="106"/>
      <c r="N813" s="4"/>
    </row>
    <row r="814" spans="1:14" ht="20.25" customHeight="1">
      <c r="A814" s="106">
        <v>814</v>
      </c>
      <c r="B814" s="169"/>
      <c r="C814" s="174">
        <v>3569</v>
      </c>
      <c r="D814" s="175" t="s">
        <v>89</v>
      </c>
      <c r="E814" s="149">
        <f ca="1">schedule3_total!C153</f>
        <v>405580</v>
      </c>
      <c r="F814" s="149">
        <f ca="1">schedule3_total!D153</f>
        <v>192810</v>
      </c>
      <c r="G814" s="149">
        <f ca="1">schedule3_total!E153</f>
        <v>0</v>
      </c>
      <c r="H814" s="149">
        <f ca="1">schedule3_total!F153</f>
        <v>0</v>
      </c>
      <c r="I814" s="57"/>
      <c r="J814" s="149">
        <f ca="1">schedule3_total!H153</f>
        <v>598390</v>
      </c>
      <c r="K814" s="57"/>
      <c r="L814" s="4"/>
      <c r="M814" s="106"/>
      <c r="N814" s="4"/>
    </row>
    <row r="815" spans="1:14" ht="20.25" customHeight="1">
      <c r="A815" s="106"/>
      <c r="B815" s="4"/>
      <c r="C815" s="181"/>
      <c r="D815" s="177" t="s">
        <v>127</v>
      </c>
      <c r="E815" s="18"/>
      <c r="F815" s="18"/>
      <c r="G815" s="18"/>
      <c r="H815" s="18"/>
      <c r="I815" s="18"/>
      <c r="J815" s="18"/>
      <c r="K815" s="18"/>
      <c r="L815" s="4"/>
      <c r="M815" s="106"/>
      <c r="N815" s="4"/>
    </row>
    <row r="816" spans="1:14" ht="20.25" customHeight="1">
      <c r="A816" s="106">
        <v>816</v>
      </c>
      <c r="B816" s="169"/>
      <c r="C816" s="174">
        <v>3571</v>
      </c>
      <c r="D816" s="149" t="s">
        <v>91</v>
      </c>
      <c r="E816" s="149">
        <f ca="1">schedule3_total!C155</f>
        <v>0</v>
      </c>
      <c r="F816" s="149">
        <f ca="1">schedule3_total!D155</f>
        <v>0</v>
      </c>
      <c r="G816" s="149">
        <f ca="1">schedule3_total!E155</f>
        <v>0</v>
      </c>
      <c r="H816" s="149">
        <f ca="1">schedule3_total!F155</f>
        <v>0</v>
      </c>
      <c r="I816" s="57"/>
      <c r="J816" s="149">
        <f ca="1">schedule3_total!H155</f>
        <v>0</v>
      </c>
      <c r="K816" s="57"/>
      <c r="L816" s="4"/>
      <c r="M816" s="106"/>
      <c r="N816" s="4"/>
    </row>
    <row r="817" spans="1:15" ht="20.25" customHeight="1">
      <c r="A817" s="106">
        <v>817</v>
      </c>
      <c r="B817" s="4"/>
      <c r="C817" s="174">
        <v>3572</v>
      </c>
      <c r="D817" s="149" t="s">
        <v>84</v>
      </c>
      <c r="E817" s="149">
        <f ca="1">schedule3_total!C156</f>
        <v>0</v>
      </c>
      <c r="F817" s="149">
        <f ca="1">schedule3_total!D156</f>
        <v>0</v>
      </c>
      <c r="G817" s="149">
        <f ca="1">schedule3_total!E156</f>
        <v>0</v>
      </c>
      <c r="H817" s="149">
        <f ca="1">schedule3_total!F156</f>
        <v>0</v>
      </c>
      <c r="I817" s="57"/>
      <c r="J817" s="149">
        <f ca="1">schedule3_total!H156</f>
        <v>0</v>
      </c>
      <c r="K817" s="57"/>
      <c r="L817" s="4"/>
      <c r="M817" s="106"/>
      <c r="N817" s="4"/>
    </row>
    <row r="818" spans="1:15" ht="20.25" customHeight="1">
      <c r="A818" s="106">
        <v>818</v>
      </c>
      <c r="B818" s="4"/>
      <c r="C818" s="174">
        <v>3573</v>
      </c>
      <c r="D818" s="149" t="s">
        <v>85</v>
      </c>
      <c r="E818" s="149">
        <f ca="1">schedule3_total!C157</f>
        <v>0</v>
      </c>
      <c r="F818" s="149">
        <f ca="1">schedule3_total!D157</f>
        <v>0</v>
      </c>
      <c r="G818" s="149">
        <f ca="1">schedule3_total!E157</f>
        <v>0</v>
      </c>
      <c r="H818" s="149">
        <f ca="1">schedule3_total!F157</f>
        <v>0</v>
      </c>
      <c r="I818" s="57"/>
      <c r="J818" s="149">
        <f ca="1">schedule3_total!H157</f>
        <v>0</v>
      </c>
      <c r="K818" s="57"/>
      <c r="L818" s="4"/>
      <c r="M818" s="106"/>
      <c r="N818" s="4"/>
    </row>
    <row r="819" spans="1:15" ht="20.25" customHeight="1">
      <c r="A819" s="106">
        <v>819</v>
      </c>
      <c r="B819" s="169"/>
      <c r="C819" s="174">
        <v>3574</v>
      </c>
      <c r="D819" s="149" t="s">
        <v>86</v>
      </c>
      <c r="E819" s="149">
        <f ca="1">schedule3_total!C158</f>
        <v>0</v>
      </c>
      <c r="F819" s="149">
        <f ca="1">schedule3_total!D158</f>
        <v>0</v>
      </c>
      <c r="G819" s="149">
        <f ca="1">schedule3_total!E158</f>
        <v>0</v>
      </c>
      <c r="H819" s="149">
        <f ca="1">schedule3_total!F158</f>
        <v>0</v>
      </c>
      <c r="I819" s="57"/>
      <c r="J819" s="149">
        <f ca="1">schedule3_total!H158</f>
        <v>0</v>
      </c>
      <c r="K819" s="57"/>
      <c r="L819" s="4"/>
      <c r="M819" s="106"/>
      <c r="N819" s="4"/>
    </row>
    <row r="820" spans="1:15" ht="20.25" customHeight="1">
      <c r="A820" s="106">
        <v>820</v>
      </c>
      <c r="B820" s="169"/>
      <c r="C820" s="174">
        <v>3575</v>
      </c>
      <c r="D820" s="149" t="s">
        <v>87</v>
      </c>
      <c r="E820" s="149">
        <f ca="1">schedule3_total!C159</f>
        <v>0</v>
      </c>
      <c r="F820" s="149">
        <f ca="1">schedule3_total!D159</f>
        <v>0</v>
      </c>
      <c r="G820" s="149">
        <f ca="1">schedule3_total!E159</f>
        <v>0</v>
      </c>
      <c r="H820" s="149">
        <f ca="1">schedule3_total!F159</f>
        <v>0</v>
      </c>
      <c r="I820" s="57"/>
      <c r="J820" s="149">
        <f ca="1">schedule3_total!H159</f>
        <v>0</v>
      </c>
      <c r="K820" s="57"/>
      <c r="L820" s="4"/>
      <c r="M820" s="106"/>
      <c r="N820" s="4"/>
    </row>
    <row r="821" spans="1:15" ht="20.25" customHeight="1">
      <c r="A821" s="106">
        <v>821</v>
      </c>
      <c r="B821" s="169"/>
      <c r="C821" s="174">
        <v>3576</v>
      </c>
      <c r="D821" s="149" t="s">
        <v>88</v>
      </c>
      <c r="E821" s="149">
        <f ca="1">schedule3_total!C160</f>
        <v>0</v>
      </c>
      <c r="F821" s="149">
        <f ca="1">schedule3_total!D160</f>
        <v>0</v>
      </c>
      <c r="G821" s="149">
        <f ca="1">schedule3_total!E160</f>
        <v>0</v>
      </c>
      <c r="H821" s="149">
        <f ca="1">schedule3_total!F160</f>
        <v>0</v>
      </c>
      <c r="I821" s="57"/>
      <c r="J821" s="149">
        <f ca="1">schedule3_total!H160</f>
        <v>0</v>
      </c>
      <c r="K821" s="57"/>
      <c r="L821" s="4"/>
      <c r="M821" s="106"/>
      <c r="N821" s="4"/>
    </row>
    <row r="822" spans="1:15" ht="20.25" customHeight="1">
      <c r="A822" s="106">
        <v>822</v>
      </c>
      <c r="B822" s="169"/>
      <c r="C822" s="174">
        <v>3579</v>
      </c>
      <c r="D822" s="175" t="s">
        <v>89</v>
      </c>
      <c r="E822" s="149">
        <f ca="1">schedule3_total!C161</f>
        <v>0</v>
      </c>
      <c r="F822" s="149">
        <f ca="1">schedule3_total!D161</f>
        <v>0</v>
      </c>
      <c r="G822" s="149">
        <f ca="1">schedule3_total!E161</f>
        <v>0</v>
      </c>
      <c r="H822" s="149">
        <f ca="1">schedule3_total!F161</f>
        <v>0</v>
      </c>
      <c r="I822" s="57"/>
      <c r="J822" s="149">
        <f ca="1">schedule3_total!H161</f>
        <v>0</v>
      </c>
      <c r="K822" s="57"/>
      <c r="L822" s="4"/>
      <c r="M822" s="106"/>
      <c r="N822" s="4"/>
    </row>
    <row r="823" spans="1:15" ht="20.25" customHeight="1">
      <c r="A823" s="106"/>
      <c r="B823" s="4"/>
      <c r="C823" s="181"/>
      <c r="D823" s="177" t="s">
        <v>128</v>
      </c>
      <c r="E823" s="18"/>
      <c r="F823" s="18"/>
      <c r="G823" s="18"/>
      <c r="H823" s="18"/>
      <c r="I823" s="18"/>
      <c r="J823" s="18"/>
      <c r="K823" s="18"/>
      <c r="L823" s="4"/>
      <c r="M823" s="106"/>
      <c r="N823" s="4"/>
    </row>
    <row r="824" spans="1:15" ht="20.25" customHeight="1">
      <c r="A824" s="106">
        <v>824</v>
      </c>
      <c r="B824" s="169"/>
      <c r="C824" s="174">
        <v>3581</v>
      </c>
      <c r="D824" s="149" t="s">
        <v>91</v>
      </c>
      <c r="E824" s="149">
        <f ca="1">schedule3_total!C163</f>
        <v>184049</v>
      </c>
      <c r="F824" s="149">
        <f ca="1">schedule3_total!D163</f>
        <v>164611</v>
      </c>
      <c r="G824" s="149">
        <f ca="1">schedule3_total!E163</f>
        <v>0</v>
      </c>
      <c r="H824" s="149">
        <f ca="1">schedule3_total!F163</f>
        <v>0</v>
      </c>
      <c r="I824" s="57"/>
      <c r="J824" s="149">
        <f ca="1">schedule3_total!H163</f>
        <v>348660</v>
      </c>
      <c r="K824" s="57"/>
      <c r="L824" s="4"/>
      <c r="M824" s="106"/>
      <c r="N824" s="4"/>
    </row>
    <row r="825" spans="1:15" ht="20.25" customHeight="1">
      <c r="A825" s="106">
        <v>825</v>
      </c>
      <c r="B825" s="4"/>
      <c r="C825" s="174">
        <v>3582</v>
      </c>
      <c r="D825" s="149" t="s">
        <v>84</v>
      </c>
      <c r="E825" s="149">
        <f ca="1">schedule3_total!C164</f>
        <v>0</v>
      </c>
      <c r="F825" s="149">
        <f ca="1">schedule3_total!D164</f>
        <v>0</v>
      </c>
      <c r="G825" s="149">
        <f ca="1">schedule3_total!E164</f>
        <v>0</v>
      </c>
      <c r="H825" s="149">
        <f ca="1">schedule3_total!F164</f>
        <v>0</v>
      </c>
      <c r="I825" s="57"/>
      <c r="J825" s="149">
        <f ca="1">schedule3_total!H164</f>
        <v>0</v>
      </c>
      <c r="K825" s="57"/>
      <c r="L825" s="4"/>
      <c r="M825" s="106"/>
      <c r="N825" s="4"/>
    </row>
    <row r="826" spans="1:15" ht="20.25" customHeight="1">
      <c r="A826" s="106">
        <v>826</v>
      </c>
      <c r="B826" s="4"/>
      <c r="C826" s="174">
        <v>3583</v>
      </c>
      <c r="D826" s="149" t="s">
        <v>85</v>
      </c>
      <c r="E826" s="149">
        <f ca="1">schedule3_total!C165</f>
        <v>0</v>
      </c>
      <c r="F826" s="149">
        <f ca="1">schedule3_total!D165</f>
        <v>0</v>
      </c>
      <c r="G826" s="149">
        <f ca="1">schedule3_total!E165</f>
        <v>0</v>
      </c>
      <c r="H826" s="149">
        <f ca="1">schedule3_total!F165</f>
        <v>0</v>
      </c>
      <c r="I826" s="57"/>
      <c r="J826" s="149">
        <f ca="1">schedule3_total!H165</f>
        <v>0</v>
      </c>
      <c r="K826" s="57"/>
      <c r="L826" s="4"/>
      <c r="M826" s="106"/>
      <c r="N826" s="4"/>
    </row>
    <row r="827" spans="1:15" ht="20.25" customHeight="1">
      <c r="A827" s="106">
        <v>827</v>
      </c>
      <c r="B827" s="4"/>
      <c r="C827" s="174">
        <v>3584</v>
      </c>
      <c r="D827" s="149" t="s">
        <v>86</v>
      </c>
      <c r="E827" s="149">
        <f ca="1">schedule3_total!C166</f>
        <v>0</v>
      </c>
      <c r="F827" s="149">
        <f ca="1">schedule3_total!D166</f>
        <v>0</v>
      </c>
      <c r="G827" s="149">
        <f ca="1">schedule3_total!E166</f>
        <v>0</v>
      </c>
      <c r="H827" s="149">
        <f ca="1">schedule3_total!F166</f>
        <v>0</v>
      </c>
      <c r="I827" s="57"/>
      <c r="J827" s="149">
        <f ca="1">schedule3_total!H166</f>
        <v>0</v>
      </c>
      <c r="K827" s="57"/>
      <c r="L827" s="4"/>
      <c r="M827" s="106"/>
      <c r="N827" s="4"/>
    </row>
    <row r="828" spans="1:15" ht="20.25" customHeight="1">
      <c r="A828" s="106">
        <v>828</v>
      </c>
      <c r="B828" s="4"/>
      <c r="C828" s="174">
        <v>3585</v>
      </c>
      <c r="D828" s="149" t="s">
        <v>87</v>
      </c>
      <c r="E828" s="149">
        <f ca="1">schedule3_total!C167</f>
        <v>6663</v>
      </c>
      <c r="F828" s="149">
        <f ca="1">schedule3_total!D167</f>
        <v>0</v>
      </c>
      <c r="G828" s="149">
        <f ca="1">schedule3_total!E167</f>
        <v>0</v>
      </c>
      <c r="H828" s="149">
        <f ca="1">schedule3_total!F167</f>
        <v>0</v>
      </c>
      <c r="I828" s="57"/>
      <c r="J828" s="149">
        <f ca="1">schedule3_total!H167</f>
        <v>6663</v>
      </c>
      <c r="K828" s="57"/>
      <c r="L828" s="4"/>
      <c r="M828" s="106"/>
      <c r="N828" s="4"/>
    </row>
    <row r="829" spans="1:15" ht="20.25" customHeight="1">
      <c r="A829" s="106">
        <v>829</v>
      </c>
      <c r="B829" s="4"/>
      <c r="C829" s="174">
        <v>3586</v>
      </c>
      <c r="D829" s="149" t="s">
        <v>88</v>
      </c>
      <c r="E829" s="149">
        <f ca="1">schedule3_total!C168</f>
        <v>0</v>
      </c>
      <c r="F829" s="149">
        <f ca="1">schedule3_total!D168</f>
        <v>0</v>
      </c>
      <c r="G829" s="149">
        <f ca="1">schedule3_total!E168</f>
        <v>0</v>
      </c>
      <c r="H829" s="149">
        <f ca="1">schedule3_total!F168</f>
        <v>0</v>
      </c>
      <c r="I829" s="57"/>
      <c r="J829" s="149">
        <f ca="1">schedule3_total!H168</f>
        <v>0</v>
      </c>
      <c r="K829" s="57"/>
      <c r="L829" s="4"/>
      <c r="M829" s="106"/>
      <c r="N829" s="4"/>
    </row>
    <row r="830" spans="1:15" ht="20.25" customHeight="1" thickBot="1">
      <c r="A830" s="106">
        <v>830</v>
      </c>
      <c r="B830" s="4"/>
      <c r="C830" s="178">
        <v>3589</v>
      </c>
      <c r="D830" s="179" t="s">
        <v>89</v>
      </c>
      <c r="E830" s="151">
        <f ca="1">schedule3_total!C169</f>
        <v>190712</v>
      </c>
      <c r="F830" s="151">
        <f ca="1">schedule3_total!D169</f>
        <v>164611</v>
      </c>
      <c r="G830" s="151">
        <f ca="1">schedule3_total!E169</f>
        <v>0</v>
      </c>
      <c r="H830" s="151">
        <f ca="1">schedule3_total!F169</f>
        <v>0</v>
      </c>
      <c r="I830" s="180"/>
      <c r="J830" s="149">
        <f ca="1">schedule3_total!H169</f>
        <v>355323</v>
      </c>
      <c r="K830" s="180"/>
      <c r="L830" s="4"/>
      <c r="M830" s="106"/>
      <c r="N830" s="4"/>
    </row>
    <row r="831" spans="1:15" ht="20.25" customHeight="1" thickTop="1">
      <c r="A831" s="106">
        <v>831</v>
      </c>
      <c r="B831" s="4"/>
      <c r="C831" s="185">
        <v>3599</v>
      </c>
      <c r="D831" s="186" t="s">
        <v>294</v>
      </c>
      <c r="E831" s="186">
        <f ca="1">schedule3_total!C170</f>
        <v>9135106.7699999996</v>
      </c>
      <c r="F831" s="186">
        <f ca="1">schedule3_total!D170</f>
        <v>4530159.0999999996</v>
      </c>
      <c r="G831" s="186">
        <f ca="1">schedule3_total!E170</f>
        <v>0</v>
      </c>
      <c r="H831" s="186">
        <f ca="1">schedule3_total!F170</f>
        <v>0</v>
      </c>
      <c r="I831" s="186">
        <f ca="1">schedule3_total!G170</f>
        <v>0</v>
      </c>
      <c r="J831" s="186">
        <f ca="1">schedule3_total!H170</f>
        <v>13665265</v>
      </c>
      <c r="K831" s="186">
        <f ca="1">schedule3_total!I170</f>
        <v>0</v>
      </c>
      <c r="L831" s="4"/>
      <c r="M831" s="106"/>
      <c r="N831" s="4"/>
    </row>
    <row r="832" spans="1:15" ht="20.25" customHeight="1">
      <c r="A832" s="106"/>
      <c r="B832" s="4"/>
      <c r="C832" s="4"/>
      <c r="D832" s="4"/>
      <c r="E832" s="4"/>
      <c r="F832" s="4"/>
      <c r="G832" s="4"/>
      <c r="H832" s="4"/>
      <c r="I832" s="4"/>
      <c r="J832" s="4"/>
      <c r="K832" s="4"/>
      <c r="L832" s="4"/>
      <c r="M832" s="4"/>
      <c r="N832" s="4"/>
      <c r="O832" s="4"/>
    </row>
    <row r="833" spans="1:16" ht="20.25" customHeight="1">
      <c r="A833" s="106"/>
      <c r="B833" s="4"/>
      <c r="C833" s="4"/>
      <c r="D833" s="4"/>
      <c r="E833" s="4"/>
      <c r="F833" s="4"/>
      <c r="G833" s="4"/>
      <c r="H833" s="4"/>
      <c r="I833" s="4"/>
      <c r="J833" s="4"/>
      <c r="K833" s="4"/>
      <c r="L833" s="4"/>
      <c r="M833" s="4"/>
      <c r="N833" s="4"/>
      <c r="O833" s="4"/>
      <c r="P833" s="4"/>
    </row>
    <row r="834" spans="1:16" ht="20.25" customHeight="1">
      <c r="A834" s="106"/>
      <c r="B834" s="4"/>
      <c r="C834" s="4"/>
      <c r="D834" s="13" t="s">
        <v>286</v>
      </c>
      <c r="E834" s="108"/>
      <c r="F834" s="108"/>
      <c r="G834" s="108"/>
      <c r="H834" s="108"/>
      <c r="I834" s="108"/>
      <c r="J834" s="108"/>
      <c r="K834" s="108"/>
      <c r="L834" s="108"/>
      <c r="M834" s="108"/>
      <c r="N834" s="108"/>
      <c r="O834"/>
      <c r="P834" s="4"/>
    </row>
    <row r="835" spans="1:16" ht="20.25" customHeight="1">
      <c r="A835" s="106"/>
      <c r="B835" s="4"/>
      <c r="C835" s="4"/>
      <c r="D835" s="13" t="s">
        <v>287</v>
      </c>
      <c r="E835" s="187">
        <v>8</v>
      </c>
      <c r="F835" s="187">
        <v>9</v>
      </c>
      <c r="G835" s="187">
        <v>10</v>
      </c>
      <c r="H835" s="187">
        <v>11</v>
      </c>
      <c r="I835" s="187">
        <v>12</v>
      </c>
      <c r="J835" s="187">
        <v>13</v>
      </c>
      <c r="K835" s="187">
        <v>14</v>
      </c>
      <c r="L835" s="187">
        <v>15</v>
      </c>
      <c r="M835" s="187">
        <v>16</v>
      </c>
      <c r="N835" s="187">
        <v>17</v>
      </c>
      <c r="O835" s="188">
        <v>18</v>
      </c>
      <c r="P835" s="191"/>
    </row>
    <row r="836" spans="1:16" ht="20.25" customHeight="1">
      <c r="A836" s="106"/>
      <c r="B836" s="4"/>
      <c r="C836" s="4"/>
      <c r="E836" s="716" t="s">
        <v>207</v>
      </c>
      <c r="F836" s="717"/>
      <c r="G836" s="717"/>
      <c r="H836" s="718"/>
      <c r="I836" s="716" t="s">
        <v>208</v>
      </c>
      <c r="J836" s="718"/>
      <c r="K836" s="716" t="s">
        <v>295</v>
      </c>
      <c r="L836" s="717"/>
      <c r="M836" s="717"/>
      <c r="N836" s="718"/>
      <c r="O836" s="189"/>
      <c r="P836" s="191"/>
    </row>
    <row r="837" spans="1:16" ht="20.25" customHeight="1">
      <c r="A837" s="106"/>
      <c r="B837" s="4"/>
      <c r="C837" s="4"/>
      <c r="E837" s="514" t="s">
        <v>217</v>
      </c>
      <c r="F837" s="514" t="s">
        <v>218</v>
      </c>
      <c r="G837" s="515" t="s">
        <v>211</v>
      </c>
      <c r="H837" s="516"/>
      <c r="I837" s="515" t="s">
        <v>212</v>
      </c>
      <c r="J837" s="517"/>
      <c r="K837" s="517"/>
      <c r="L837" s="517" t="s">
        <v>213</v>
      </c>
      <c r="M837" s="517" t="s">
        <v>214</v>
      </c>
      <c r="N837" s="517" t="s">
        <v>296</v>
      </c>
      <c r="O837" s="191"/>
      <c r="P837" s="191"/>
    </row>
    <row r="838" spans="1:16" ht="20.25" customHeight="1">
      <c r="A838" s="106"/>
      <c r="B838" s="4"/>
      <c r="C838" s="4"/>
      <c r="D838" s="13"/>
      <c r="E838" s="518" t="s">
        <v>297</v>
      </c>
      <c r="F838" s="518" t="s">
        <v>297</v>
      </c>
      <c r="G838" s="518" t="s">
        <v>298</v>
      </c>
      <c r="H838" s="519"/>
      <c r="I838" s="518" t="s">
        <v>219</v>
      </c>
      <c r="J838" s="519"/>
      <c r="K838" s="520" t="s">
        <v>220</v>
      </c>
      <c r="L838" s="520" t="s">
        <v>221</v>
      </c>
      <c r="M838" s="520" t="s">
        <v>222</v>
      </c>
      <c r="N838" s="520" t="s">
        <v>225</v>
      </c>
      <c r="O838" s="191"/>
      <c r="P838" s="191"/>
    </row>
    <row r="839" spans="1:16" ht="20.25" customHeight="1">
      <c r="A839" s="106"/>
      <c r="B839" s="4"/>
      <c r="C839" s="4"/>
      <c r="D839" s="13" t="s">
        <v>299</v>
      </c>
      <c r="E839" s="521">
        <v>305</v>
      </c>
      <c r="F839" s="521">
        <v>240</v>
      </c>
      <c r="G839" s="521" t="s">
        <v>229</v>
      </c>
      <c r="H839" s="521" t="s">
        <v>58</v>
      </c>
      <c r="I839" s="521" t="s">
        <v>229</v>
      </c>
      <c r="J839" s="522" t="s">
        <v>58</v>
      </c>
      <c r="K839" s="522" t="s">
        <v>230</v>
      </c>
      <c r="L839" s="522" t="s">
        <v>231</v>
      </c>
      <c r="M839" s="522" t="s">
        <v>232</v>
      </c>
      <c r="N839" s="522" t="s">
        <v>235</v>
      </c>
      <c r="O839" s="193" t="s">
        <v>133</v>
      </c>
      <c r="P839" s="191"/>
    </row>
    <row r="840" spans="1:16" ht="20.25" customHeight="1">
      <c r="A840" s="106"/>
      <c r="B840" s="4"/>
      <c r="C840" s="177" t="s">
        <v>38</v>
      </c>
      <c r="D840" s="177" t="s">
        <v>99</v>
      </c>
      <c r="O840" s="195"/>
      <c r="P840" s="4" t="s">
        <v>300</v>
      </c>
    </row>
    <row r="841" spans="1:16" ht="20.25" customHeight="1">
      <c r="A841" s="106">
        <v>841</v>
      </c>
      <c r="B841" s="169"/>
      <c r="C841" s="174">
        <v>3601</v>
      </c>
      <c r="D841" s="149" t="s">
        <v>91</v>
      </c>
      <c r="E841" s="149">
        <f ca="1">schedule3_total!J15</f>
        <v>0</v>
      </c>
      <c r="F841" s="149">
        <f ca="1">schedule3_total!K15</f>
        <v>0</v>
      </c>
      <c r="G841" s="149">
        <f ca="1">SUM(schedule3_total!L15:R15)</f>
        <v>0</v>
      </c>
      <c r="H841" s="149">
        <f ca="1">schedule3_total!S15</f>
        <v>0</v>
      </c>
      <c r="I841" s="149">
        <f ca="1">SUM(schedule3_total!U15:V15)</f>
        <v>0</v>
      </c>
      <c r="J841" s="149">
        <f ca="1">schedule3_total!W15</f>
        <v>0</v>
      </c>
      <c r="K841" s="149">
        <f ca="1">schedule3_total!X15</f>
        <v>0</v>
      </c>
      <c r="L841" s="149">
        <f ca="1">schedule3_total!Y15</f>
        <v>0</v>
      </c>
      <c r="M841" s="149">
        <f ca="1">schedule3_total!Z15</f>
        <v>0</v>
      </c>
      <c r="N841" s="149">
        <f ca="1">schedule3_total!AA15</f>
        <v>0</v>
      </c>
      <c r="O841" s="149">
        <f ca="1">schedule3_total!AB15</f>
        <v>263900</v>
      </c>
      <c r="P841" s="354">
        <f ca="1">SUM(E841:N841)</f>
        <v>0</v>
      </c>
    </row>
    <row r="842" spans="1:16" ht="20.25" customHeight="1">
      <c r="A842" s="106">
        <v>842</v>
      </c>
      <c r="B842" s="169"/>
      <c r="C842" s="174">
        <v>3602</v>
      </c>
      <c r="D842" s="149" t="s">
        <v>84</v>
      </c>
      <c r="E842" s="149">
        <f ca="1">schedule3_total!J16</f>
        <v>0</v>
      </c>
      <c r="F842" s="149">
        <f ca="1">schedule3_total!K16</f>
        <v>0</v>
      </c>
      <c r="G842" s="149">
        <f ca="1">SUM(schedule3_total!L16:R16)</f>
        <v>0</v>
      </c>
      <c r="H842" s="149">
        <f ca="1">schedule3_total!S16</f>
        <v>0</v>
      </c>
      <c r="I842" s="149">
        <f ca="1">SUM(schedule3_total!U16:V16)</f>
        <v>0</v>
      </c>
      <c r="J842" s="149">
        <f ca="1">schedule3_total!W16</f>
        <v>0</v>
      </c>
      <c r="K842" s="149">
        <f ca="1">schedule3_total!X16</f>
        <v>0</v>
      </c>
      <c r="L842" s="149">
        <f ca="1">schedule3_total!Y16</f>
        <v>0</v>
      </c>
      <c r="M842" s="149">
        <f ca="1">schedule3_total!Z16</f>
        <v>0</v>
      </c>
      <c r="N842" s="149">
        <f ca="1">schedule3_total!AA16</f>
        <v>0</v>
      </c>
      <c r="O842" s="149">
        <f ca="1">schedule3_total!AB16</f>
        <v>57351</v>
      </c>
      <c r="P842" s="354">
        <f t="shared" ref="P842:P905" ca="1" si="85">SUM(E842:N842)</f>
        <v>0</v>
      </c>
    </row>
    <row r="843" spans="1:16" ht="20.25" customHeight="1">
      <c r="A843" s="106">
        <v>843</v>
      </c>
      <c r="B843" s="169"/>
      <c r="C843" s="174">
        <v>3603</v>
      </c>
      <c r="D843" s="149" t="s">
        <v>85</v>
      </c>
      <c r="E843" s="149">
        <f ca="1">schedule3_total!J17</f>
        <v>0</v>
      </c>
      <c r="F843" s="149">
        <f ca="1">schedule3_total!K17</f>
        <v>0</v>
      </c>
      <c r="G843" s="149">
        <f ca="1">SUM(schedule3_total!L17:R17)</f>
        <v>0</v>
      </c>
      <c r="H843" s="149">
        <f ca="1">schedule3_total!S17</f>
        <v>0</v>
      </c>
      <c r="I843" s="149">
        <f ca="1">SUM(schedule3_total!U17:V17)</f>
        <v>0</v>
      </c>
      <c r="J843" s="149">
        <f ca="1">schedule3_total!W17</f>
        <v>0</v>
      </c>
      <c r="K843" s="149">
        <f ca="1">schedule3_total!X17</f>
        <v>0</v>
      </c>
      <c r="L843" s="149">
        <f ca="1">schedule3_total!Y17</f>
        <v>0</v>
      </c>
      <c r="M843" s="149">
        <f ca="1">schedule3_total!Z17</f>
        <v>0</v>
      </c>
      <c r="N843" s="149">
        <f ca="1">schedule3_total!AA17</f>
        <v>0</v>
      </c>
      <c r="O843" s="149">
        <f ca="1">schedule3_total!AB17</f>
        <v>0</v>
      </c>
      <c r="P843" s="354">
        <f t="shared" ca="1" si="85"/>
        <v>0</v>
      </c>
    </row>
    <row r="844" spans="1:16" ht="20.25" customHeight="1">
      <c r="A844" s="106">
        <v>844</v>
      </c>
      <c r="B844" s="169"/>
      <c r="C844" s="174">
        <v>3604</v>
      </c>
      <c r="D844" s="149" t="s">
        <v>86</v>
      </c>
      <c r="E844" s="149">
        <f ca="1">schedule3_total!J18</f>
        <v>0</v>
      </c>
      <c r="F844" s="149">
        <f ca="1">schedule3_total!K18</f>
        <v>0</v>
      </c>
      <c r="G844" s="149">
        <f ca="1">SUM(schedule3_total!L18:R18)</f>
        <v>0</v>
      </c>
      <c r="H844" s="149">
        <f ca="1">schedule3_total!S18</f>
        <v>0</v>
      </c>
      <c r="I844" s="149">
        <f ca="1">SUM(schedule3_total!U18:V18)</f>
        <v>0</v>
      </c>
      <c r="J844" s="149">
        <f ca="1">schedule3_total!W18</f>
        <v>0</v>
      </c>
      <c r="K844" s="149">
        <f ca="1">schedule3_total!X18</f>
        <v>0</v>
      </c>
      <c r="L844" s="149">
        <f ca="1">schedule3_total!Y18</f>
        <v>0</v>
      </c>
      <c r="M844" s="149">
        <f ca="1">schedule3_total!Z18</f>
        <v>0</v>
      </c>
      <c r="N844" s="149">
        <f ca="1">schedule3_total!AA18</f>
        <v>0</v>
      </c>
      <c r="O844" s="149">
        <f ca="1">schedule3_total!AB18</f>
        <v>29483</v>
      </c>
      <c r="P844" s="354">
        <f t="shared" ca="1" si="85"/>
        <v>0</v>
      </c>
    </row>
    <row r="845" spans="1:16" ht="20.25" customHeight="1">
      <c r="A845" s="106">
        <v>845</v>
      </c>
      <c r="B845" s="169"/>
      <c r="C845" s="174">
        <v>3605</v>
      </c>
      <c r="D845" s="149" t="s">
        <v>87</v>
      </c>
      <c r="E845" s="149">
        <f ca="1">schedule3_total!J19</f>
        <v>0</v>
      </c>
      <c r="F845" s="149">
        <f ca="1">schedule3_total!K19</f>
        <v>0</v>
      </c>
      <c r="G845" s="149">
        <f ca="1">SUM(schedule3_total!L19:R19)</f>
        <v>0</v>
      </c>
      <c r="H845" s="149">
        <f ca="1">schedule3_total!S19</f>
        <v>0</v>
      </c>
      <c r="I845" s="149">
        <f ca="1">SUM(schedule3_total!U19:V19)</f>
        <v>0</v>
      </c>
      <c r="J845" s="149">
        <f ca="1">schedule3_total!W19</f>
        <v>0</v>
      </c>
      <c r="K845" s="149">
        <f ca="1">schedule3_total!X19</f>
        <v>0</v>
      </c>
      <c r="L845" s="149">
        <v>31053</v>
      </c>
      <c r="M845" s="149">
        <f ca="1">schedule3_total!Z19</f>
        <v>0</v>
      </c>
      <c r="N845" s="149">
        <f ca="1">schedule3_total!AA19</f>
        <v>0</v>
      </c>
      <c r="O845" s="149">
        <f ca="1">schedule3_total!AB19</f>
        <v>57899</v>
      </c>
      <c r="P845" s="354">
        <f t="shared" ca="1" si="85"/>
        <v>31053</v>
      </c>
    </row>
    <row r="846" spans="1:16" ht="20.25" customHeight="1">
      <c r="A846" s="106">
        <v>846</v>
      </c>
      <c r="B846" s="169"/>
      <c r="C846" s="174">
        <v>3606</v>
      </c>
      <c r="D846" s="149" t="s">
        <v>88</v>
      </c>
      <c r="E846" s="149">
        <f ca="1">schedule3_total!J20</f>
        <v>0</v>
      </c>
      <c r="F846" s="149">
        <f ca="1">schedule3_total!K20</f>
        <v>0</v>
      </c>
      <c r="G846" s="149">
        <f ca="1">SUM(schedule3_total!L20:R20)</f>
        <v>0</v>
      </c>
      <c r="H846" s="149">
        <f ca="1">schedule3_total!S20</f>
        <v>0</v>
      </c>
      <c r="I846" s="149">
        <f ca="1">SUM(schedule3_total!U20:V20)</f>
        <v>0</v>
      </c>
      <c r="J846" s="149">
        <f ca="1">schedule3_total!W20</f>
        <v>0</v>
      </c>
      <c r="K846" s="149">
        <f ca="1">schedule3_total!X20</f>
        <v>0</v>
      </c>
      <c r="L846" s="149">
        <f ca="1">schedule3_total!Y20</f>
        <v>0</v>
      </c>
      <c r="M846" s="149">
        <f ca="1">schedule3_total!Z20</f>
        <v>0</v>
      </c>
      <c r="N846" s="149">
        <f ca="1">schedule3_total!AA20</f>
        <v>0</v>
      </c>
      <c r="O846" s="149">
        <f ca="1">schedule3_total!AB20</f>
        <v>0</v>
      </c>
      <c r="P846" s="354">
        <f t="shared" ca="1" si="85"/>
        <v>0</v>
      </c>
    </row>
    <row r="847" spans="1:16" ht="20.25" customHeight="1">
      <c r="A847" s="106">
        <v>847</v>
      </c>
      <c r="B847" s="4"/>
      <c r="C847" s="174">
        <v>3609</v>
      </c>
      <c r="D847" s="175" t="s">
        <v>89</v>
      </c>
      <c r="E847" s="149">
        <f ca="1">schedule3_total!J21</f>
        <v>0</v>
      </c>
      <c r="F847" s="149">
        <f ca="1">schedule3_total!K21</f>
        <v>0</v>
      </c>
      <c r="G847" s="149">
        <f ca="1">SUM(schedule3_total!L21:R21)</f>
        <v>0</v>
      </c>
      <c r="H847" s="149">
        <f ca="1">schedule3_total!S21</f>
        <v>0</v>
      </c>
      <c r="I847" s="149">
        <f ca="1">SUM(schedule3_total!U21:V21)</f>
        <v>0</v>
      </c>
      <c r="J847" s="149">
        <f ca="1">schedule3_total!W21</f>
        <v>0</v>
      </c>
      <c r="K847" s="149">
        <f ca="1">schedule3_total!X21</f>
        <v>0</v>
      </c>
      <c r="L847" s="149">
        <f ca="1">schedule3_total!Y21</f>
        <v>0</v>
      </c>
      <c r="M847" s="149">
        <f ca="1">schedule3_total!Z21</f>
        <v>0</v>
      </c>
      <c r="N847" s="149">
        <f ca="1">schedule3_total!AA21</f>
        <v>0</v>
      </c>
      <c r="O847" s="149">
        <f ca="1">schedule3_total!AB21</f>
        <v>408633</v>
      </c>
      <c r="P847" s="354">
        <f t="shared" ca="1" si="85"/>
        <v>0</v>
      </c>
    </row>
    <row r="848" spans="1:16" ht="20.25" customHeight="1">
      <c r="A848" s="106"/>
      <c r="B848" s="4"/>
      <c r="C848" s="176"/>
      <c r="D848" s="177" t="s">
        <v>291</v>
      </c>
      <c r="E848" s="18"/>
      <c r="F848" s="18"/>
      <c r="G848" s="18"/>
      <c r="H848" s="18"/>
      <c r="I848" s="18"/>
      <c r="J848" s="18"/>
      <c r="K848" s="18"/>
      <c r="L848" s="18"/>
      <c r="M848" s="18"/>
      <c r="N848" s="18"/>
      <c r="O848" s="18"/>
      <c r="P848" s="354">
        <f t="shared" si="85"/>
        <v>0</v>
      </c>
    </row>
    <row r="849" spans="1:16" ht="20.25" customHeight="1">
      <c r="A849" s="106">
        <v>849</v>
      </c>
      <c r="B849" s="169"/>
      <c r="C849" s="174">
        <v>3611</v>
      </c>
      <c r="D849" s="149" t="s">
        <v>91</v>
      </c>
      <c r="E849" s="149">
        <f ca="1">schedule3_total!J23</f>
        <v>0</v>
      </c>
      <c r="F849" s="149">
        <f ca="1">schedule3_total!K23</f>
        <v>0</v>
      </c>
      <c r="G849" s="149">
        <f ca="1">SUM(schedule3_total!L23:R23)</f>
        <v>0</v>
      </c>
      <c r="H849" s="149">
        <f ca="1">schedule3_total!S23</f>
        <v>0</v>
      </c>
      <c r="I849" s="149">
        <f ca="1">SUM(schedule3_total!U23:V23)</f>
        <v>0</v>
      </c>
      <c r="J849" s="149">
        <f ca="1">schedule3_total!W23</f>
        <v>0</v>
      </c>
      <c r="K849" s="149">
        <f ca="1">schedule3_total!X23</f>
        <v>0</v>
      </c>
      <c r="L849" s="149">
        <f ca="1">schedule3_total!Y23</f>
        <v>0</v>
      </c>
      <c r="M849" s="149">
        <f ca="1">schedule3_total!Z23</f>
        <v>0</v>
      </c>
      <c r="N849" s="149">
        <f ca="1">schedule3_total!AA23</f>
        <v>0</v>
      </c>
      <c r="O849" s="149">
        <f ca="1">schedule3_total!AB23</f>
        <v>0</v>
      </c>
      <c r="P849" s="354">
        <f t="shared" ca="1" si="85"/>
        <v>0</v>
      </c>
    </row>
    <row r="850" spans="1:16" ht="20.25" customHeight="1">
      <c r="A850" s="106">
        <v>850</v>
      </c>
      <c r="B850" s="169"/>
      <c r="C850" s="174">
        <v>3612</v>
      </c>
      <c r="D850" s="149" t="s">
        <v>84</v>
      </c>
      <c r="E850" s="149">
        <f ca="1">schedule3_total!J24</f>
        <v>0</v>
      </c>
      <c r="F850" s="149">
        <f ca="1">schedule3_total!K24</f>
        <v>0</v>
      </c>
      <c r="G850" s="149">
        <f ca="1">SUM(schedule3_total!L24:R24)</f>
        <v>0</v>
      </c>
      <c r="H850" s="149">
        <f ca="1">schedule3_total!S24</f>
        <v>0</v>
      </c>
      <c r="I850" s="149">
        <f ca="1">SUM(schedule3_total!U24:V24)</f>
        <v>0</v>
      </c>
      <c r="J850" s="149">
        <f ca="1">schedule3_total!W24</f>
        <v>0</v>
      </c>
      <c r="K850" s="149">
        <f ca="1">schedule3_total!X24</f>
        <v>0</v>
      </c>
      <c r="L850" s="149">
        <f ca="1">schedule3_total!Y24</f>
        <v>0</v>
      </c>
      <c r="M850" s="149">
        <f ca="1">schedule3_total!Z24</f>
        <v>0</v>
      </c>
      <c r="N850" s="149">
        <f ca="1">schedule3_total!AA24</f>
        <v>0</v>
      </c>
      <c r="O850" s="149">
        <f ca="1">schedule3_total!AB24</f>
        <v>0</v>
      </c>
      <c r="P850" s="354">
        <f t="shared" ca="1" si="85"/>
        <v>0</v>
      </c>
    </row>
    <row r="851" spans="1:16" ht="20.25" customHeight="1">
      <c r="A851" s="106">
        <v>851</v>
      </c>
      <c r="B851" s="169"/>
      <c r="C851" s="174">
        <v>3613</v>
      </c>
      <c r="D851" s="149" t="s">
        <v>85</v>
      </c>
      <c r="E851" s="149">
        <f ca="1">schedule3_total!J25</f>
        <v>0</v>
      </c>
      <c r="F851" s="149">
        <f ca="1">schedule3_total!K25</f>
        <v>0</v>
      </c>
      <c r="G851" s="149">
        <f ca="1">SUM(schedule3_total!L25:R25)</f>
        <v>0</v>
      </c>
      <c r="H851" s="149">
        <f ca="1">schedule3_total!S25</f>
        <v>0</v>
      </c>
      <c r="I851" s="149">
        <f ca="1">SUM(schedule3_total!U25:V25)</f>
        <v>0</v>
      </c>
      <c r="J851" s="149">
        <f ca="1">schedule3_total!W25</f>
        <v>0</v>
      </c>
      <c r="K851" s="149">
        <f ca="1">schedule3_total!X25</f>
        <v>0</v>
      </c>
      <c r="L851" s="149">
        <f ca="1">schedule3_total!Y25</f>
        <v>0</v>
      </c>
      <c r="M851" s="149">
        <f ca="1">schedule3_total!Z25</f>
        <v>0</v>
      </c>
      <c r="N851" s="149">
        <f ca="1">schedule3_total!AA25</f>
        <v>0</v>
      </c>
      <c r="O851" s="149">
        <f ca="1">schedule3_total!AB25</f>
        <v>0</v>
      </c>
      <c r="P851" s="354">
        <f t="shared" ca="1" si="85"/>
        <v>0</v>
      </c>
    </row>
    <row r="852" spans="1:16" ht="20.25" customHeight="1">
      <c r="A852" s="106">
        <v>852</v>
      </c>
      <c r="B852" s="169"/>
      <c r="C852" s="174">
        <v>3614</v>
      </c>
      <c r="D852" s="149" t="s">
        <v>86</v>
      </c>
      <c r="E852" s="149">
        <f ca="1">schedule3_total!J26</f>
        <v>0</v>
      </c>
      <c r="F852" s="149">
        <f ca="1">schedule3_total!K26</f>
        <v>0</v>
      </c>
      <c r="G852" s="149">
        <f ca="1">SUM(schedule3_total!L26:R26)</f>
        <v>0</v>
      </c>
      <c r="H852" s="149">
        <f ca="1">schedule3_total!S26</f>
        <v>0</v>
      </c>
      <c r="I852" s="149">
        <f ca="1">SUM(schedule3_total!U26:V26)</f>
        <v>0</v>
      </c>
      <c r="J852" s="149">
        <f ca="1">schedule3_total!W26</f>
        <v>0</v>
      </c>
      <c r="K852" s="149">
        <f ca="1">schedule3_total!X26</f>
        <v>0</v>
      </c>
      <c r="L852" s="149">
        <f ca="1">schedule3_total!Y26</f>
        <v>0</v>
      </c>
      <c r="M852" s="149">
        <f ca="1">schedule3_total!Z26</f>
        <v>0</v>
      </c>
      <c r="N852" s="149">
        <f ca="1">schedule3_total!AA26</f>
        <v>0</v>
      </c>
      <c r="O852" s="149">
        <f ca="1">schedule3_total!AB26</f>
        <v>0</v>
      </c>
      <c r="P852" s="354">
        <f t="shared" ca="1" si="85"/>
        <v>0</v>
      </c>
    </row>
    <row r="853" spans="1:16" ht="20.25" customHeight="1">
      <c r="A853" s="106">
        <v>853</v>
      </c>
      <c r="B853" s="169"/>
      <c r="C853" s="174">
        <v>3615</v>
      </c>
      <c r="D853" s="149" t="s">
        <v>87</v>
      </c>
      <c r="E853" s="149">
        <f ca="1">schedule3_total!J27</f>
        <v>0</v>
      </c>
      <c r="F853" s="149">
        <f ca="1">schedule3_total!K27</f>
        <v>0</v>
      </c>
      <c r="G853" s="149">
        <f ca="1">SUM(schedule3_total!L27:R27)</f>
        <v>0</v>
      </c>
      <c r="H853" s="149">
        <f ca="1">schedule3_total!S27</f>
        <v>0</v>
      </c>
      <c r="I853" s="149">
        <f ca="1">SUM(schedule3_total!U27:V27)</f>
        <v>0</v>
      </c>
      <c r="J853" s="149">
        <f ca="1">schedule3_total!W27</f>
        <v>0</v>
      </c>
      <c r="K853" s="149">
        <f ca="1">schedule3_total!X27</f>
        <v>0</v>
      </c>
      <c r="L853" s="149">
        <f ca="1">schedule3_total!Y27</f>
        <v>0</v>
      </c>
      <c r="M853" s="149">
        <f ca="1">schedule3_total!Z27</f>
        <v>0</v>
      </c>
      <c r="N853" s="149">
        <f ca="1">schedule3_total!AA27</f>
        <v>0</v>
      </c>
      <c r="O853" s="149">
        <f ca="1">schedule3_total!AB27</f>
        <v>0</v>
      </c>
      <c r="P853" s="354">
        <f t="shared" ca="1" si="85"/>
        <v>0</v>
      </c>
    </row>
    <row r="854" spans="1:16" ht="20.25" customHeight="1">
      <c r="A854" s="106">
        <v>854</v>
      </c>
      <c r="B854" s="169"/>
      <c r="C854" s="174">
        <v>3616</v>
      </c>
      <c r="D854" s="149" t="s">
        <v>88</v>
      </c>
      <c r="E854" s="149">
        <f ca="1">schedule3_total!J28</f>
        <v>0</v>
      </c>
      <c r="F854" s="149">
        <f ca="1">schedule3_total!K28</f>
        <v>0</v>
      </c>
      <c r="G854" s="149">
        <f ca="1">SUM(schedule3_total!L28:R28)</f>
        <v>0</v>
      </c>
      <c r="H854" s="149">
        <f ca="1">schedule3_total!S28</f>
        <v>0</v>
      </c>
      <c r="I854" s="149">
        <f ca="1">SUM(schedule3_total!U28:V28)</f>
        <v>0</v>
      </c>
      <c r="J854" s="149">
        <f ca="1">schedule3_total!W28</f>
        <v>0</v>
      </c>
      <c r="K854" s="149">
        <f ca="1">schedule3_total!X28</f>
        <v>0</v>
      </c>
      <c r="L854" s="149">
        <f ca="1">schedule3_total!Y28</f>
        <v>0</v>
      </c>
      <c r="M854" s="149">
        <f ca="1">schedule3_total!Z28</f>
        <v>0</v>
      </c>
      <c r="N854" s="149">
        <f ca="1">schedule3_total!AA28</f>
        <v>0</v>
      </c>
      <c r="O854" s="149">
        <f ca="1">schedule3_total!AB28</f>
        <v>0</v>
      </c>
      <c r="P854" s="354">
        <f t="shared" ca="1" si="85"/>
        <v>0</v>
      </c>
    </row>
    <row r="855" spans="1:16" ht="20.25" customHeight="1">
      <c r="A855" s="106">
        <v>855</v>
      </c>
      <c r="B855" s="4"/>
      <c r="C855" s="174">
        <v>3619</v>
      </c>
      <c r="D855" s="175" t="s">
        <v>89</v>
      </c>
      <c r="E855" s="149">
        <f ca="1">schedule3_total!J29</f>
        <v>0</v>
      </c>
      <c r="F855" s="149">
        <f ca="1">schedule3_total!K29</f>
        <v>0</v>
      </c>
      <c r="G855" s="149">
        <f ca="1">SUM(schedule3_total!L29:R29)</f>
        <v>0</v>
      </c>
      <c r="H855" s="149">
        <f ca="1">schedule3_total!S29</f>
        <v>0</v>
      </c>
      <c r="I855" s="149">
        <f ca="1">SUM(schedule3_total!U29:V29)</f>
        <v>0</v>
      </c>
      <c r="J855" s="149">
        <f ca="1">schedule3_total!W29</f>
        <v>0</v>
      </c>
      <c r="K855" s="149">
        <f ca="1">schedule3_total!X29</f>
        <v>0</v>
      </c>
      <c r="L855" s="149">
        <f ca="1">schedule3_total!Y29</f>
        <v>0</v>
      </c>
      <c r="M855" s="149">
        <f ca="1">schedule3_total!Z29</f>
        <v>0</v>
      </c>
      <c r="N855" s="149">
        <f ca="1">schedule3_total!AA29</f>
        <v>0</v>
      </c>
      <c r="O855" s="149">
        <f ca="1">schedule3_total!AB29</f>
        <v>0</v>
      </c>
      <c r="P855" s="354">
        <f t="shared" ca="1" si="85"/>
        <v>0</v>
      </c>
    </row>
    <row r="856" spans="1:16" ht="20.25" customHeight="1">
      <c r="A856" s="106"/>
      <c r="B856" s="4"/>
      <c r="C856" s="355"/>
      <c r="D856" s="13" t="s">
        <v>102</v>
      </c>
      <c r="E856" s="4"/>
      <c r="F856" s="4"/>
      <c r="G856" s="4"/>
      <c r="H856" s="4"/>
      <c r="I856" s="4"/>
      <c r="J856" s="4"/>
      <c r="K856" s="4"/>
      <c r="L856" s="4"/>
      <c r="M856" s="4"/>
      <c r="N856" s="4"/>
      <c r="O856" s="4"/>
      <c r="P856" s="354">
        <f t="shared" si="85"/>
        <v>0</v>
      </c>
    </row>
    <row r="857" spans="1:16" ht="20.25" customHeight="1">
      <c r="A857" s="106">
        <v>857</v>
      </c>
      <c r="B857" s="4"/>
      <c r="C857" s="314">
        <v>3621</v>
      </c>
      <c r="D857" s="59" t="s">
        <v>91</v>
      </c>
      <c r="E857" s="149">
        <f ca="1">schedule3_total!J31</f>
        <v>0</v>
      </c>
      <c r="F857" s="149">
        <f ca="1">schedule3_total!K31</f>
        <v>0</v>
      </c>
      <c r="G857" s="149">
        <f ca="1">SUM(schedule3_total!L31:R31)</f>
        <v>0</v>
      </c>
      <c r="H857" s="149">
        <f ca="1">schedule3_total!S31</f>
        <v>0</v>
      </c>
      <c r="I857" s="149">
        <f ca="1">SUM(schedule3_total!U31:V31)</f>
        <v>0</v>
      </c>
      <c r="J857" s="149">
        <f ca="1">schedule3_total!W31</f>
        <v>0</v>
      </c>
      <c r="K857" s="149">
        <f ca="1">schedule3_total!X31</f>
        <v>0</v>
      </c>
      <c r="L857" s="149">
        <f ca="1">schedule3_total!Y31</f>
        <v>0</v>
      </c>
      <c r="M857" s="149">
        <f ca="1">schedule3_total!Z31</f>
        <v>0</v>
      </c>
      <c r="N857" s="149">
        <f ca="1">schedule3_total!AA31</f>
        <v>0</v>
      </c>
      <c r="O857" s="149">
        <f ca="1">schedule3_total!AB31</f>
        <v>0</v>
      </c>
      <c r="P857" s="354">
        <f t="shared" ca="1" si="85"/>
        <v>0</v>
      </c>
    </row>
    <row r="858" spans="1:16" ht="20.25" customHeight="1">
      <c r="A858" s="106">
        <v>858</v>
      </c>
      <c r="B858" s="4"/>
      <c r="C858" s="314">
        <v>3622</v>
      </c>
      <c r="D858" s="59" t="s">
        <v>84</v>
      </c>
      <c r="E858" s="149">
        <f ca="1">schedule3_total!J32</f>
        <v>0</v>
      </c>
      <c r="F858" s="149">
        <f ca="1">schedule3_total!K32</f>
        <v>0</v>
      </c>
      <c r="G858" s="149">
        <f ca="1">SUM(schedule3_total!L32:R32)</f>
        <v>0</v>
      </c>
      <c r="H858" s="149">
        <f ca="1">schedule3_total!S32</f>
        <v>0</v>
      </c>
      <c r="I858" s="149">
        <f ca="1">SUM(schedule3_total!U32:V32)</f>
        <v>0</v>
      </c>
      <c r="J858" s="149">
        <f ca="1">schedule3_total!W32</f>
        <v>0</v>
      </c>
      <c r="K858" s="149">
        <f ca="1">schedule3_total!X32</f>
        <v>0</v>
      </c>
      <c r="L858" s="149">
        <f ca="1">schedule3_total!Y32</f>
        <v>0</v>
      </c>
      <c r="M858" s="149">
        <f ca="1">schedule3_total!Z32</f>
        <v>0</v>
      </c>
      <c r="N858" s="149">
        <f ca="1">schedule3_total!AA32</f>
        <v>0</v>
      </c>
      <c r="O858" s="149">
        <f ca="1">schedule3_total!AB32</f>
        <v>0</v>
      </c>
      <c r="P858" s="354">
        <f t="shared" ca="1" si="85"/>
        <v>0</v>
      </c>
    </row>
    <row r="859" spans="1:16" ht="20.25" customHeight="1">
      <c r="A859" s="106">
        <v>859</v>
      </c>
      <c r="B859" s="4"/>
      <c r="C859" s="314">
        <v>3623</v>
      </c>
      <c r="D859" s="59" t="s">
        <v>85</v>
      </c>
      <c r="E859" s="149">
        <f ca="1">schedule3_total!J33</f>
        <v>0</v>
      </c>
      <c r="F859" s="149">
        <f ca="1">schedule3_total!K33</f>
        <v>0</v>
      </c>
      <c r="G859" s="149">
        <f ca="1">SUM(schedule3_total!L33:R33)</f>
        <v>0</v>
      </c>
      <c r="H859" s="149">
        <f ca="1">schedule3_total!S33</f>
        <v>0</v>
      </c>
      <c r="I859" s="149">
        <f ca="1">SUM(schedule3_total!U33:V33)</f>
        <v>0</v>
      </c>
      <c r="J859" s="149">
        <f ca="1">schedule3_total!W33</f>
        <v>0</v>
      </c>
      <c r="K859" s="149">
        <f ca="1">schedule3_total!X33</f>
        <v>0</v>
      </c>
      <c r="L859" s="149">
        <f ca="1">schedule3_total!Y33</f>
        <v>0</v>
      </c>
      <c r="M859" s="149">
        <f ca="1">schedule3_total!Z33</f>
        <v>0</v>
      </c>
      <c r="N859" s="149">
        <f ca="1">schedule3_total!AA33</f>
        <v>0</v>
      </c>
      <c r="O859" s="149">
        <f ca="1">schedule3_total!AB33</f>
        <v>0</v>
      </c>
      <c r="P859" s="354">
        <f t="shared" ca="1" si="85"/>
        <v>0</v>
      </c>
    </row>
    <row r="860" spans="1:16" ht="20.25" customHeight="1">
      <c r="A860" s="106">
        <v>860</v>
      </c>
      <c r="B860" s="4"/>
      <c r="C860" s="314">
        <v>3624</v>
      </c>
      <c r="D860" s="59" t="s">
        <v>86</v>
      </c>
      <c r="E860" s="149">
        <f ca="1">schedule3_total!J34</f>
        <v>0</v>
      </c>
      <c r="F860" s="149">
        <f ca="1">schedule3_total!K34</f>
        <v>0</v>
      </c>
      <c r="G860" s="149">
        <f ca="1">SUM(schedule3_total!L34:R34)</f>
        <v>0</v>
      </c>
      <c r="H860" s="149">
        <f ca="1">schedule3_total!S34</f>
        <v>0</v>
      </c>
      <c r="I860" s="149">
        <f ca="1">SUM(schedule3_total!U34:V34)</f>
        <v>0</v>
      </c>
      <c r="J860" s="149">
        <f ca="1">schedule3_total!W34</f>
        <v>0</v>
      </c>
      <c r="K860" s="149">
        <f ca="1">schedule3_total!X34</f>
        <v>0</v>
      </c>
      <c r="L860" s="149">
        <f ca="1">schedule3_total!Y34</f>
        <v>0</v>
      </c>
      <c r="M860" s="149">
        <f ca="1">schedule3_total!Z34</f>
        <v>0</v>
      </c>
      <c r="N860" s="149">
        <f ca="1">schedule3_total!AA34</f>
        <v>0</v>
      </c>
      <c r="O860" s="149">
        <f ca="1">schedule3_total!AB34</f>
        <v>0</v>
      </c>
      <c r="P860" s="354">
        <f t="shared" ca="1" si="85"/>
        <v>0</v>
      </c>
    </row>
    <row r="861" spans="1:16" ht="20.25" customHeight="1">
      <c r="A861" s="106">
        <v>861</v>
      </c>
      <c r="B861" s="4"/>
      <c r="C861" s="314">
        <v>3625</v>
      </c>
      <c r="D861" s="59" t="s">
        <v>87</v>
      </c>
      <c r="E861" s="149">
        <f ca="1">schedule3_total!J35</f>
        <v>0</v>
      </c>
      <c r="F861" s="149">
        <f ca="1">schedule3_total!K35</f>
        <v>0</v>
      </c>
      <c r="G861" s="149">
        <f ca="1">SUM(schedule3_total!L35:R35)</f>
        <v>0</v>
      </c>
      <c r="H861" s="149">
        <f ca="1">schedule3_total!S35</f>
        <v>0</v>
      </c>
      <c r="I861" s="149">
        <f ca="1">SUM(schedule3_total!U35:V35)</f>
        <v>0</v>
      </c>
      <c r="J861" s="149">
        <f ca="1">schedule3_total!W35</f>
        <v>0</v>
      </c>
      <c r="K861" s="149">
        <f ca="1">schedule3_total!X35</f>
        <v>0</v>
      </c>
      <c r="L861" s="149">
        <f ca="1">schedule3_total!Y35</f>
        <v>0</v>
      </c>
      <c r="M861" s="149">
        <f ca="1">schedule3_total!Z35</f>
        <v>0</v>
      </c>
      <c r="N861" s="149">
        <f ca="1">schedule3_total!AA35</f>
        <v>0</v>
      </c>
      <c r="O861" s="149">
        <f ca="1">schedule3_total!AB35</f>
        <v>0</v>
      </c>
      <c r="P861" s="354">
        <f t="shared" ca="1" si="85"/>
        <v>0</v>
      </c>
    </row>
    <row r="862" spans="1:16" ht="20.25" customHeight="1">
      <c r="A862" s="106">
        <v>862</v>
      </c>
      <c r="B862" s="4"/>
      <c r="C862" s="314">
        <v>3626</v>
      </c>
      <c r="D862" s="59" t="s">
        <v>88</v>
      </c>
      <c r="E862" s="149">
        <f ca="1">schedule3_total!J36</f>
        <v>0</v>
      </c>
      <c r="F862" s="149">
        <f ca="1">schedule3_total!K36</f>
        <v>0</v>
      </c>
      <c r="G862" s="149">
        <f ca="1">SUM(schedule3_total!L36:R36)</f>
        <v>0</v>
      </c>
      <c r="H862" s="149">
        <f ca="1">schedule3_total!S36</f>
        <v>0</v>
      </c>
      <c r="I862" s="149">
        <f ca="1">SUM(schedule3_total!U36:V36)</f>
        <v>0</v>
      </c>
      <c r="J862" s="149">
        <f ca="1">schedule3_total!W36</f>
        <v>0</v>
      </c>
      <c r="K862" s="149">
        <f ca="1">schedule3_total!X36</f>
        <v>0</v>
      </c>
      <c r="L862" s="149">
        <f ca="1">schedule3_total!Y36</f>
        <v>0</v>
      </c>
      <c r="M862" s="149">
        <f ca="1">schedule3_total!Z36</f>
        <v>0</v>
      </c>
      <c r="N862" s="149">
        <f ca="1">schedule3_total!AA36</f>
        <v>0</v>
      </c>
      <c r="O862" s="149">
        <f ca="1">schedule3_total!AB36</f>
        <v>0</v>
      </c>
      <c r="P862" s="354">
        <f t="shared" ca="1" si="85"/>
        <v>0</v>
      </c>
    </row>
    <row r="863" spans="1:16" ht="20.25" customHeight="1">
      <c r="A863" s="106">
        <v>863</v>
      </c>
      <c r="B863" s="4"/>
      <c r="C863" s="314">
        <v>3627</v>
      </c>
      <c r="D863" s="307" t="s">
        <v>89</v>
      </c>
      <c r="E863" s="149">
        <f ca="1">schedule3_total!J37</f>
        <v>0</v>
      </c>
      <c r="F863" s="149">
        <f ca="1">schedule3_total!K37</f>
        <v>0</v>
      </c>
      <c r="G863" s="149">
        <f ca="1">SUM(schedule3_total!L37:R37)</f>
        <v>0</v>
      </c>
      <c r="H863" s="149">
        <f ca="1">schedule3_total!S37</f>
        <v>0</v>
      </c>
      <c r="I863" s="149">
        <f ca="1">SUM(schedule3_total!U37:V37)</f>
        <v>0</v>
      </c>
      <c r="J863" s="149">
        <f ca="1">schedule3_total!W37</f>
        <v>0</v>
      </c>
      <c r="K863" s="149">
        <f ca="1">schedule3_total!X37</f>
        <v>0</v>
      </c>
      <c r="L863" s="149">
        <f ca="1">schedule3_total!Y37</f>
        <v>0</v>
      </c>
      <c r="M863" s="149">
        <f ca="1">schedule3_total!Z37</f>
        <v>0</v>
      </c>
      <c r="N863" s="149">
        <f ca="1">schedule3_total!AA37</f>
        <v>0</v>
      </c>
      <c r="O863" s="149">
        <f ca="1">schedule3_total!AB37</f>
        <v>0</v>
      </c>
      <c r="P863" s="354">
        <f t="shared" ca="1" si="85"/>
        <v>0</v>
      </c>
    </row>
    <row r="864" spans="1:16" ht="20.25" customHeight="1">
      <c r="A864" s="106"/>
      <c r="B864" s="4"/>
      <c r="C864" s="176"/>
      <c r="D864" s="177" t="s">
        <v>103</v>
      </c>
      <c r="E864" s="18"/>
      <c r="F864" s="18"/>
      <c r="G864" s="18"/>
      <c r="H864" s="18"/>
      <c r="I864" s="18"/>
      <c r="J864" s="18"/>
      <c r="K864" s="18"/>
      <c r="L864" s="18"/>
      <c r="M864" s="18"/>
      <c r="N864" s="18"/>
      <c r="O864" s="18"/>
      <c r="P864" s="354">
        <f t="shared" si="85"/>
        <v>0</v>
      </c>
    </row>
    <row r="865" spans="1:16" ht="20.25" customHeight="1">
      <c r="A865" s="106">
        <v>865</v>
      </c>
      <c r="B865" s="169"/>
      <c r="C865" s="356">
        <v>3629</v>
      </c>
      <c r="D865" s="149" t="s">
        <v>91</v>
      </c>
      <c r="E865" s="149">
        <f ca="1">schedule3_total!J39</f>
        <v>0</v>
      </c>
      <c r="F865" s="149">
        <f ca="1">schedule3_total!K39</f>
        <v>0</v>
      </c>
      <c r="G865" s="149">
        <f ca="1">SUM(schedule3_total!L39:R39)</f>
        <v>0</v>
      </c>
      <c r="H865" s="149">
        <f ca="1">schedule3_total!S39</f>
        <v>0</v>
      </c>
      <c r="I865" s="149">
        <f ca="1">SUM(schedule3_total!U39:V39)</f>
        <v>0</v>
      </c>
      <c r="J865" s="149">
        <f ca="1">schedule3_total!W39</f>
        <v>0</v>
      </c>
      <c r="K865" s="149">
        <f ca="1">schedule3_total!X39</f>
        <v>0</v>
      </c>
      <c r="L865" s="149">
        <f ca="1">schedule3_total!Y39</f>
        <v>0</v>
      </c>
      <c r="M865" s="149">
        <f ca="1">schedule3_total!Z39</f>
        <v>0</v>
      </c>
      <c r="N865" s="149">
        <f ca="1">schedule3_total!AA39</f>
        <v>0</v>
      </c>
      <c r="O865" s="149">
        <f ca="1">schedule3_total!AB39</f>
        <v>0</v>
      </c>
      <c r="P865" s="354">
        <f t="shared" ca="1" si="85"/>
        <v>0</v>
      </c>
    </row>
    <row r="866" spans="1:16" ht="20.25" customHeight="1">
      <c r="A866" s="106">
        <v>866</v>
      </c>
      <c r="B866" s="169"/>
      <c r="C866" s="356">
        <v>3630</v>
      </c>
      <c r="D866" s="149" t="s">
        <v>84</v>
      </c>
      <c r="E866" s="149">
        <f ca="1">schedule3_total!J40</f>
        <v>0</v>
      </c>
      <c r="F866" s="149">
        <f ca="1">schedule3_total!K40</f>
        <v>0</v>
      </c>
      <c r="G866" s="149">
        <f ca="1">SUM(schedule3_total!L40:R40)</f>
        <v>0</v>
      </c>
      <c r="H866" s="149">
        <f ca="1">schedule3_total!S40</f>
        <v>0</v>
      </c>
      <c r="I866" s="149">
        <f ca="1">SUM(schedule3_total!U40:V40)</f>
        <v>0</v>
      </c>
      <c r="J866" s="149">
        <f ca="1">schedule3_total!W40</f>
        <v>0</v>
      </c>
      <c r="K866" s="149">
        <f ca="1">schedule3_total!X40</f>
        <v>0</v>
      </c>
      <c r="L866" s="149">
        <f ca="1">schedule3_total!Y40</f>
        <v>0</v>
      </c>
      <c r="M866" s="149">
        <f ca="1">schedule3_total!Z40</f>
        <v>0</v>
      </c>
      <c r="N866" s="149">
        <f ca="1">schedule3_total!AA40</f>
        <v>0</v>
      </c>
      <c r="O866" s="149">
        <f ca="1">schedule3_total!AB40</f>
        <v>0</v>
      </c>
      <c r="P866" s="354">
        <f t="shared" ca="1" si="85"/>
        <v>0</v>
      </c>
    </row>
    <row r="867" spans="1:16" ht="20.25" customHeight="1">
      <c r="A867" s="106">
        <v>867</v>
      </c>
      <c r="B867" s="169"/>
      <c r="C867" s="356">
        <v>3631</v>
      </c>
      <c r="D867" s="149" t="s">
        <v>85</v>
      </c>
      <c r="E867" s="149">
        <f ca="1">schedule3_total!J41</f>
        <v>0</v>
      </c>
      <c r="F867" s="149">
        <f ca="1">schedule3_total!K41</f>
        <v>0</v>
      </c>
      <c r="G867" s="149">
        <f ca="1">SUM(schedule3_total!L41:R41)</f>
        <v>0</v>
      </c>
      <c r="H867" s="149">
        <f ca="1">schedule3_total!S41</f>
        <v>0</v>
      </c>
      <c r="I867" s="149">
        <f ca="1">SUM(schedule3_total!U41:V41)</f>
        <v>0</v>
      </c>
      <c r="J867" s="149">
        <f ca="1">schedule3_total!W41</f>
        <v>0</v>
      </c>
      <c r="K867" s="149">
        <f ca="1">schedule3_total!X41</f>
        <v>0</v>
      </c>
      <c r="L867" s="149">
        <f ca="1">schedule3_total!Y41</f>
        <v>0</v>
      </c>
      <c r="M867" s="149">
        <f ca="1">schedule3_total!Z41</f>
        <v>0</v>
      </c>
      <c r="N867" s="149">
        <f ca="1">schedule3_total!AA41</f>
        <v>0</v>
      </c>
      <c r="O867" s="149">
        <f ca="1">schedule3_total!AB41</f>
        <v>0</v>
      </c>
      <c r="P867" s="354">
        <f t="shared" ca="1" si="85"/>
        <v>0</v>
      </c>
    </row>
    <row r="868" spans="1:16" ht="20.25" customHeight="1">
      <c r="A868" s="106">
        <v>868</v>
      </c>
      <c r="B868" s="169"/>
      <c r="C868" s="356">
        <v>3632</v>
      </c>
      <c r="D868" s="149" t="s">
        <v>86</v>
      </c>
      <c r="E868" s="149">
        <f ca="1">schedule3_total!J42</f>
        <v>0</v>
      </c>
      <c r="F868" s="149">
        <f ca="1">schedule3_total!K42</f>
        <v>0</v>
      </c>
      <c r="G868" s="149">
        <f ca="1">SUM(schedule3_total!L42:R42)</f>
        <v>0</v>
      </c>
      <c r="H868" s="149">
        <f ca="1">schedule3_total!S42</f>
        <v>0</v>
      </c>
      <c r="I868" s="149">
        <f ca="1">SUM(schedule3_total!U42:V42)</f>
        <v>0</v>
      </c>
      <c r="J868" s="149">
        <f ca="1">schedule3_total!W42</f>
        <v>0</v>
      </c>
      <c r="K868" s="149">
        <f ca="1">schedule3_total!X42</f>
        <v>0</v>
      </c>
      <c r="L868" s="149">
        <f ca="1">schedule3_total!Y42</f>
        <v>0</v>
      </c>
      <c r="M868" s="149">
        <f ca="1">schedule3_total!Z42</f>
        <v>0</v>
      </c>
      <c r="N868" s="149">
        <f ca="1">schedule3_total!AA42</f>
        <v>0</v>
      </c>
      <c r="O868" s="149">
        <f ca="1">schedule3_total!AB42</f>
        <v>0</v>
      </c>
      <c r="P868" s="354">
        <f t="shared" ca="1" si="85"/>
        <v>0</v>
      </c>
    </row>
    <row r="869" spans="1:16" ht="20.25" customHeight="1">
      <c r="A869" s="106">
        <v>869</v>
      </c>
      <c r="B869" s="169"/>
      <c r="C869" s="356">
        <v>3633</v>
      </c>
      <c r="D869" s="149" t="s">
        <v>87</v>
      </c>
      <c r="E869" s="149">
        <f ca="1">schedule3_total!J43</f>
        <v>0</v>
      </c>
      <c r="F869" s="149">
        <f ca="1">schedule3_total!K43</f>
        <v>0</v>
      </c>
      <c r="G869" s="149">
        <f ca="1">SUM(schedule3_total!L43:R43)</f>
        <v>0</v>
      </c>
      <c r="H869" s="149">
        <f ca="1">schedule3_total!S43</f>
        <v>0</v>
      </c>
      <c r="I869" s="149">
        <f ca="1">SUM(schedule3_total!U43:V43)</f>
        <v>0</v>
      </c>
      <c r="J869" s="149">
        <f ca="1">schedule3_total!W43</f>
        <v>0</v>
      </c>
      <c r="K869" s="149">
        <f ca="1">schedule3_total!X43</f>
        <v>0</v>
      </c>
      <c r="L869" s="149">
        <f ca="1">schedule3_total!Y43</f>
        <v>0</v>
      </c>
      <c r="M869" s="149">
        <f ca="1">schedule3_total!Z43</f>
        <v>0</v>
      </c>
      <c r="N869" s="149">
        <f ca="1">schedule3_total!AA43</f>
        <v>0</v>
      </c>
      <c r="O869" s="149">
        <f ca="1">schedule3_total!AB43</f>
        <v>0</v>
      </c>
      <c r="P869" s="354">
        <f t="shared" ca="1" si="85"/>
        <v>0</v>
      </c>
    </row>
    <row r="870" spans="1:16" ht="20.25" customHeight="1">
      <c r="A870" s="106">
        <v>870</v>
      </c>
      <c r="B870" s="169"/>
      <c r="C870" s="356">
        <v>3634</v>
      </c>
      <c r="D870" s="149" t="s">
        <v>88</v>
      </c>
      <c r="E870" s="149">
        <f ca="1">schedule3_total!J44</f>
        <v>0</v>
      </c>
      <c r="F870" s="149">
        <f ca="1">schedule3_total!K44</f>
        <v>0</v>
      </c>
      <c r="G870" s="149">
        <f ca="1">SUM(schedule3_total!L44:R44)</f>
        <v>0</v>
      </c>
      <c r="H870" s="149">
        <f ca="1">schedule3_total!S44</f>
        <v>0</v>
      </c>
      <c r="I870" s="149">
        <f ca="1">SUM(schedule3_total!U44:V44)</f>
        <v>0</v>
      </c>
      <c r="J870" s="149">
        <f ca="1">schedule3_total!W44</f>
        <v>0</v>
      </c>
      <c r="K870" s="149">
        <f ca="1">schedule3_total!X44</f>
        <v>0</v>
      </c>
      <c r="L870" s="149">
        <f ca="1">schedule3_total!Y44</f>
        <v>0</v>
      </c>
      <c r="M870" s="149">
        <f ca="1">schedule3_total!Z44</f>
        <v>0</v>
      </c>
      <c r="N870" s="149">
        <f ca="1">schedule3_total!AA44</f>
        <v>0</v>
      </c>
      <c r="O870" s="149">
        <f ca="1">schedule3_total!AB44</f>
        <v>0</v>
      </c>
      <c r="P870" s="354">
        <f t="shared" ca="1" si="85"/>
        <v>0</v>
      </c>
    </row>
    <row r="871" spans="1:16" ht="20.25" customHeight="1">
      <c r="A871" s="106">
        <v>871</v>
      </c>
      <c r="B871" s="4"/>
      <c r="C871" s="356">
        <v>3635</v>
      </c>
      <c r="D871" s="175" t="s">
        <v>89</v>
      </c>
      <c r="E871" s="149">
        <f ca="1">schedule3_total!J45</f>
        <v>0</v>
      </c>
      <c r="F871" s="149">
        <f ca="1">schedule3_total!K45</f>
        <v>0</v>
      </c>
      <c r="G871" s="149">
        <f ca="1">SUM(schedule3_total!L45:R45)</f>
        <v>0</v>
      </c>
      <c r="H871" s="149">
        <f ca="1">schedule3_total!S45</f>
        <v>0</v>
      </c>
      <c r="I871" s="149">
        <f ca="1">SUM(schedule3_total!U45:V45)</f>
        <v>0</v>
      </c>
      <c r="J871" s="149">
        <f ca="1">schedule3_total!W45</f>
        <v>0</v>
      </c>
      <c r="K871" s="149">
        <f ca="1">schedule3_total!X45</f>
        <v>0</v>
      </c>
      <c r="L871" s="149">
        <f ca="1">schedule3_total!Y45</f>
        <v>0</v>
      </c>
      <c r="M871" s="149">
        <f ca="1">schedule3_total!Z45</f>
        <v>0</v>
      </c>
      <c r="N871" s="149">
        <f ca="1">schedule3_total!AA45</f>
        <v>0</v>
      </c>
      <c r="O871" s="149">
        <f ca="1">schedule3_total!AB45</f>
        <v>0</v>
      </c>
      <c r="P871" s="354">
        <f t="shared" ca="1" si="85"/>
        <v>0</v>
      </c>
    </row>
    <row r="872" spans="1:16" ht="20.25" customHeight="1">
      <c r="A872" s="106"/>
      <c r="B872" s="4"/>
      <c r="C872" s="176" t="s">
        <v>301</v>
      </c>
      <c r="D872" s="13" t="s">
        <v>104</v>
      </c>
      <c r="E872" s="18"/>
      <c r="F872" s="18"/>
      <c r="G872" s="18"/>
      <c r="H872" s="18"/>
      <c r="I872" s="18"/>
      <c r="J872" s="18"/>
      <c r="K872" s="18"/>
      <c r="L872" s="18"/>
      <c r="M872" s="18"/>
      <c r="N872" s="18"/>
      <c r="O872" s="18"/>
      <c r="P872" s="354">
        <f t="shared" si="85"/>
        <v>0</v>
      </c>
    </row>
    <row r="873" spans="1:16" ht="20.25" customHeight="1">
      <c r="A873" s="106">
        <v>873</v>
      </c>
      <c r="B873" s="169"/>
      <c r="C873" s="174">
        <v>3644</v>
      </c>
      <c r="D873" s="149" t="s">
        <v>86</v>
      </c>
      <c r="E873" s="149">
        <f ca="1">schedule3_total!J47</f>
        <v>0</v>
      </c>
      <c r="F873" s="149">
        <f ca="1">schedule3_total!K47</f>
        <v>0</v>
      </c>
      <c r="G873" s="149">
        <f ca="1">SUM(schedule3_total!L47:R47)</f>
        <v>0</v>
      </c>
      <c r="H873" s="149">
        <f ca="1">schedule3_total!S47</f>
        <v>0</v>
      </c>
      <c r="I873" s="149">
        <f ca="1">SUM(schedule3_total!U47:V47)</f>
        <v>0</v>
      </c>
      <c r="J873" s="149">
        <f ca="1">schedule3_total!W47</f>
        <v>0</v>
      </c>
      <c r="K873" s="149">
        <f ca="1">schedule3_total!X47</f>
        <v>0</v>
      </c>
      <c r="L873" s="149">
        <f ca="1">schedule3_total!Y47</f>
        <v>0</v>
      </c>
      <c r="M873" s="149">
        <f ca="1">schedule3_total!Z47</f>
        <v>0</v>
      </c>
      <c r="N873" s="149">
        <f ca="1">schedule3_total!AA47</f>
        <v>0</v>
      </c>
      <c r="O873" s="149">
        <f ca="1">schedule3_total!AB47</f>
        <v>0</v>
      </c>
      <c r="P873" s="354">
        <f t="shared" ca="1" si="85"/>
        <v>0</v>
      </c>
    </row>
    <row r="874" spans="1:16" ht="20.25" customHeight="1">
      <c r="A874" s="106">
        <v>874</v>
      </c>
      <c r="B874" s="169"/>
      <c r="C874" s="174">
        <v>3645</v>
      </c>
      <c r="D874" s="149" t="s">
        <v>87</v>
      </c>
      <c r="E874" s="149">
        <f ca="1">schedule3_total!J48</f>
        <v>0</v>
      </c>
      <c r="F874" s="149">
        <f ca="1">schedule3_total!K48</f>
        <v>0</v>
      </c>
      <c r="G874" s="149">
        <f ca="1">SUM(schedule3_total!L48:R48)</f>
        <v>0</v>
      </c>
      <c r="H874" s="149">
        <f ca="1">schedule3_total!S48</f>
        <v>0</v>
      </c>
      <c r="I874" s="149">
        <f ca="1">SUM(schedule3_total!U48:V48)</f>
        <v>0</v>
      </c>
      <c r="J874" s="149">
        <f ca="1">schedule3_total!W48</f>
        <v>0</v>
      </c>
      <c r="K874" s="149">
        <f ca="1">schedule3_total!X48</f>
        <v>0</v>
      </c>
      <c r="L874" s="149">
        <f ca="1">schedule3_total!Y48</f>
        <v>0</v>
      </c>
      <c r="M874" s="149">
        <f ca="1">schedule3_total!Z48</f>
        <v>0</v>
      </c>
      <c r="N874" s="149">
        <f ca="1">schedule3_total!AA48</f>
        <v>0</v>
      </c>
      <c r="O874" s="149">
        <f ca="1">schedule3_total!AB48</f>
        <v>0</v>
      </c>
      <c r="P874" s="354">
        <f t="shared" ca="1" si="85"/>
        <v>0</v>
      </c>
    </row>
    <row r="875" spans="1:16" ht="20.25" customHeight="1">
      <c r="A875" s="106">
        <v>875</v>
      </c>
      <c r="B875" s="169"/>
      <c r="C875" s="174">
        <v>3646</v>
      </c>
      <c r="D875" s="149" t="s">
        <v>88</v>
      </c>
      <c r="E875" s="149">
        <f ca="1">schedule3_total!J49</f>
        <v>0</v>
      </c>
      <c r="F875" s="149">
        <f ca="1">schedule3_total!K49</f>
        <v>0</v>
      </c>
      <c r="G875" s="149">
        <f ca="1">SUM(schedule3_total!L49:R49)</f>
        <v>0</v>
      </c>
      <c r="H875" s="149">
        <f ca="1">schedule3_total!S49</f>
        <v>0</v>
      </c>
      <c r="I875" s="149">
        <f ca="1">SUM(schedule3_total!U49:V49)</f>
        <v>0</v>
      </c>
      <c r="J875" s="149">
        <f ca="1">schedule3_total!W49</f>
        <v>0</v>
      </c>
      <c r="K875" s="149">
        <f ca="1">schedule3_total!X49</f>
        <v>0</v>
      </c>
      <c r="L875" s="149">
        <f ca="1">schedule3_total!Y49</f>
        <v>0</v>
      </c>
      <c r="M875" s="149">
        <f ca="1">schedule3_total!Z49</f>
        <v>0</v>
      </c>
      <c r="N875" s="149">
        <f ca="1">schedule3_total!AA49</f>
        <v>0</v>
      </c>
      <c r="O875" s="149">
        <f ca="1">schedule3_total!AB49</f>
        <v>0</v>
      </c>
      <c r="P875" s="354">
        <f t="shared" ca="1" si="85"/>
        <v>0</v>
      </c>
    </row>
    <row r="876" spans="1:16" ht="20.25" customHeight="1">
      <c r="A876" s="106">
        <v>876</v>
      </c>
      <c r="B876" s="4"/>
      <c r="C876" s="174">
        <v>3649</v>
      </c>
      <c r="D876" s="175" t="s">
        <v>89</v>
      </c>
      <c r="E876" s="149">
        <f ca="1">schedule3_total!J50</f>
        <v>0</v>
      </c>
      <c r="F876" s="149">
        <f ca="1">schedule3_total!K50</f>
        <v>0</v>
      </c>
      <c r="G876" s="149">
        <f ca="1">SUM(schedule3_total!L50:R50)</f>
        <v>0</v>
      </c>
      <c r="H876" s="149">
        <f ca="1">schedule3_total!S50</f>
        <v>0</v>
      </c>
      <c r="I876" s="149">
        <f ca="1">SUM(schedule3_total!U50:V50)</f>
        <v>0</v>
      </c>
      <c r="J876" s="149">
        <f ca="1">schedule3_total!W50</f>
        <v>0</v>
      </c>
      <c r="K876" s="149">
        <f ca="1">schedule3_total!X50</f>
        <v>0</v>
      </c>
      <c r="L876" s="149">
        <f ca="1">schedule3_total!Y50</f>
        <v>0</v>
      </c>
      <c r="M876" s="149">
        <f ca="1">schedule3_total!Z50</f>
        <v>0</v>
      </c>
      <c r="N876" s="149">
        <f ca="1">schedule3_total!AA50</f>
        <v>0</v>
      </c>
      <c r="O876" s="149">
        <f ca="1">schedule3_total!AB50</f>
        <v>0</v>
      </c>
      <c r="P876" s="354">
        <f t="shared" ca="1" si="85"/>
        <v>0</v>
      </c>
    </row>
    <row r="877" spans="1:16" ht="20.25" customHeight="1">
      <c r="A877" s="106"/>
      <c r="B877" s="4"/>
      <c r="C877" s="176"/>
      <c r="D877" s="177" t="s">
        <v>105</v>
      </c>
      <c r="E877" s="18"/>
      <c r="F877" s="18"/>
      <c r="G877" s="18"/>
      <c r="H877" s="18"/>
      <c r="I877" s="18"/>
      <c r="J877" s="18"/>
      <c r="K877" s="18"/>
      <c r="L877" s="18"/>
      <c r="M877" s="18"/>
      <c r="N877" s="18"/>
      <c r="O877" s="18"/>
      <c r="P877" s="354">
        <f t="shared" si="85"/>
        <v>0</v>
      </c>
    </row>
    <row r="878" spans="1:16" ht="20.25" customHeight="1">
      <c r="A878" s="106">
        <v>878</v>
      </c>
      <c r="B878" s="169"/>
      <c r="C878" s="174">
        <v>3650</v>
      </c>
      <c r="D878" s="149" t="s">
        <v>91</v>
      </c>
      <c r="E878" s="149">
        <f ca="1">schedule3_total!J52</f>
        <v>0</v>
      </c>
      <c r="F878" s="149">
        <f ca="1">schedule3_total!K52</f>
        <v>0</v>
      </c>
      <c r="G878" s="149">
        <f ca="1">SUM(schedule3_total!L52:R52)</f>
        <v>0</v>
      </c>
      <c r="H878" s="149">
        <f ca="1">schedule3_total!S52</f>
        <v>0</v>
      </c>
      <c r="I878" s="149">
        <f ca="1">SUM(schedule3_total!U52:V52)</f>
        <v>0</v>
      </c>
      <c r="J878" s="149">
        <f ca="1">schedule3_total!W52</f>
        <v>0</v>
      </c>
      <c r="K878" s="149">
        <f ca="1">schedule3_total!X52</f>
        <v>0</v>
      </c>
      <c r="L878" s="149">
        <f ca="1">schedule3_total!Y52</f>
        <v>0</v>
      </c>
      <c r="M878" s="149">
        <f ca="1">schedule3_total!Z52</f>
        <v>0</v>
      </c>
      <c r="N878" s="149">
        <f ca="1">schedule3_total!AA52</f>
        <v>0</v>
      </c>
      <c r="O878" s="149">
        <f ca="1">schedule3_total!AB52</f>
        <v>9861030</v>
      </c>
      <c r="P878" s="354">
        <f t="shared" ca="1" si="85"/>
        <v>0</v>
      </c>
    </row>
    <row r="879" spans="1:16" ht="20.25" customHeight="1">
      <c r="A879" s="106"/>
      <c r="B879" s="4"/>
      <c r="C879" s="181"/>
      <c r="D879" s="177" t="s">
        <v>106</v>
      </c>
      <c r="E879" s="18"/>
      <c r="F879" s="18"/>
      <c r="G879" s="18"/>
      <c r="H879" s="18"/>
      <c r="I879" s="18"/>
      <c r="J879" s="18"/>
      <c r="K879" s="18"/>
      <c r="L879" s="18"/>
      <c r="M879" s="18"/>
      <c r="N879" s="18"/>
      <c r="O879" s="152"/>
      <c r="P879" s="354">
        <f t="shared" si="85"/>
        <v>0</v>
      </c>
    </row>
    <row r="880" spans="1:16" ht="20.25" customHeight="1">
      <c r="A880" s="106">
        <v>880</v>
      </c>
      <c r="B880" s="169"/>
      <c r="C880" s="174">
        <v>3652</v>
      </c>
      <c r="D880" s="149" t="s">
        <v>91</v>
      </c>
      <c r="E880" s="149">
        <f ca="1">schedule3_total!J54</f>
        <v>0</v>
      </c>
      <c r="F880" s="149">
        <f ca="1">schedule3_total!K54</f>
        <v>0</v>
      </c>
      <c r="G880" s="149">
        <f ca="1">SUM(schedule3_total!L54:R54)</f>
        <v>0</v>
      </c>
      <c r="H880" s="149">
        <f ca="1">schedule3_total!S54</f>
        <v>0</v>
      </c>
      <c r="I880" s="149">
        <f ca="1">SUM(schedule3_total!U54:V54)</f>
        <v>0</v>
      </c>
      <c r="J880" s="149">
        <f ca="1">schedule3_total!W54</f>
        <v>0</v>
      </c>
      <c r="K880" s="149">
        <f ca="1">schedule3_total!X54</f>
        <v>0</v>
      </c>
      <c r="L880" s="149">
        <f ca="1">schedule3_total!Y54</f>
        <v>0</v>
      </c>
      <c r="M880" s="149">
        <f ca="1">schedule3_total!Z54</f>
        <v>0</v>
      </c>
      <c r="N880" s="149">
        <f ca="1">schedule3_total!AA54</f>
        <v>0</v>
      </c>
      <c r="O880" s="149">
        <f ca="1">schedule3_total!AB54</f>
        <v>623928</v>
      </c>
      <c r="P880" s="354">
        <f t="shared" ca="1" si="85"/>
        <v>0</v>
      </c>
    </row>
    <row r="881" spans="1:16" ht="20.25" customHeight="1">
      <c r="A881" s="106">
        <v>881</v>
      </c>
      <c r="B881" s="169"/>
      <c r="C881" s="174">
        <v>3653</v>
      </c>
      <c r="D881" s="149" t="s">
        <v>84</v>
      </c>
      <c r="E881" s="149">
        <f ca="1">schedule3_total!J55</f>
        <v>0</v>
      </c>
      <c r="F881" s="149">
        <f ca="1">schedule3_total!K55</f>
        <v>0</v>
      </c>
      <c r="G881" s="149">
        <f ca="1">SUM(schedule3_total!L55:R55)</f>
        <v>0</v>
      </c>
      <c r="H881" s="149">
        <f ca="1">schedule3_total!S55</f>
        <v>0</v>
      </c>
      <c r="I881" s="149">
        <f ca="1">SUM(schedule3_total!U55:V55)</f>
        <v>0</v>
      </c>
      <c r="J881" s="149">
        <f ca="1">schedule3_total!W55</f>
        <v>0</v>
      </c>
      <c r="K881" s="149">
        <f ca="1">schedule3_total!X55</f>
        <v>0</v>
      </c>
      <c r="L881" s="149">
        <f ca="1">schedule3_total!Y55</f>
        <v>0</v>
      </c>
      <c r="M881" s="149">
        <f ca="1">schedule3_total!Z55</f>
        <v>0</v>
      </c>
      <c r="N881" s="149">
        <f ca="1">schedule3_total!AA55</f>
        <v>0</v>
      </c>
      <c r="O881" s="149">
        <f ca="1">schedule3_total!AB55</f>
        <v>0</v>
      </c>
      <c r="P881" s="354">
        <f t="shared" ca="1" si="85"/>
        <v>0</v>
      </c>
    </row>
    <row r="882" spans="1:16" ht="20.25" customHeight="1">
      <c r="A882" s="106">
        <v>882</v>
      </c>
      <c r="B882" s="169"/>
      <c r="C882" s="174">
        <v>3654</v>
      </c>
      <c r="D882" s="149" t="s">
        <v>85</v>
      </c>
      <c r="E882" s="149">
        <f ca="1">schedule3_total!J56</f>
        <v>0</v>
      </c>
      <c r="F882" s="149">
        <f ca="1">schedule3_total!K56</f>
        <v>0</v>
      </c>
      <c r="G882" s="149">
        <f ca="1">SUM(schedule3_total!L56:R56)</f>
        <v>0</v>
      </c>
      <c r="H882" s="149">
        <f ca="1">schedule3_total!S56</f>
        <v>0</v>
      </c>
      <c r="I882" s="149">
        <f ca="1">SUM(schedule3_total!U56:V56)</f>
        <v>0</v>
      </c>
      <c r="J882" s="149">
        <f ca="1">schedule3_total!W56</f>
        <v>0</v>
      </c>
      <c r="K882" s="149">
        <f ca="1">schedule3_total!X56</f>
        <v>0</v>
      </c>
      <c r="L882" s="149">
        <f ca="1">schedule3_total!Y56</f>
        <v>0</v>
      </c>
      <c r="M882" s="149">
        <f ca="1">schedule3_total!Z56</f>
        <v>0</v>
      </c>
      <c r="N882" s="149">
        <f ca="1">schedule3_total!AA56</f>
        <v>0</v>
      </c>
      <c r="O882" s="149">
        <f ca="1">schedule3_total!AB56</f>
        <v>0</v>
      </c>
      <c r="P882" s="354">
        <f t="shared" ca="1" si="85"/>
        <v>0</v>
      </c>
    </row>
    <row r="883" spans="1:16" ht="20.25" customHeight="1">
      <c r="A883" s="106">
        <v>883</v>
      </c>
      <c r="B883" s="169"/>
      <c r="C883" s="174">
        <v>3655</v>
      </c>
      <c r="D883" s="149" t="s">
        <v>86</v>
      </c>
      <c r="E883" s="149">
        <f ca="1">schedule3_total!J57</f>
        <v>0</v>
      </c>
      <c r="F883" s="149">
        <f ca="1">schedule3_total!K57</f>
        <v>0</v>
      </c>
      <c r="G883" s="149">
        <f ca="1">SUM(schedule3_total!L57:R57)</f>
        <v>0</v>
      </c>
      <c r="H883" s="149">
        <f ca="1">schedule3_total!S57</f>
        <v>0</v>
      </c>
      <c r="I883" s="149">
        <f ca="1">SUM(schedule3_total!U57:V57)</f>
        <v>0</v>
      </c>
      <c r="J883" s="149">
        <f ca="1">schedule3_total!W57</f>
        <v>0</v>
      </c>
      <c r="K883" s="149">
        <f ca="1">schedule3_total!X57</f>
        <v>0</v>
      </c>
      <c r="L883" s="149">
        <f ca="1">schedule3_total!Y57</f>
        <v>0</v>
      </c>
      <c r="M883" s="149">
        <f ca="1">schedule3_total!Z57</f>
        <v>0</v>
      </c>
      <c r="N883" s="149">
        <f ca="1">schedule3_total!AA57</f>
        <v>0</v>
      </c>
      <c r="O883" s="149">
        <f ca="1">schedule3_total!AB57</f>
        <v>0</v>
      </c>
      <c r="P883" s="354">
        <f t="shared" ca="1" si="85"/>
        <v>0</v>
      </c>
    </row>
    <row r="884" spans="1:16" ht="20.25" customHeight="1">
      <c r="A884" s="106">
        <v>884</v>
      </c>
      <c r="B884" s="4" t="s">
        <v>107</v>
      </c>
      <c r="C884" s="174" t="s">
        <v>302</v>
      </c>
      <c r="D884" s="149" t="s">
        <v>87</v>
      </c>
      <c r="E884" s="149">
        <f ca="1">schedule3_total!J58</f>
        <v>0</v>
      </c>
      <c r="F884" s="149">
        <f ca="1">schedule3_total!K58</f>
        <v>0</v>
      </c>
      <c r="G884" s="149">
        <f ca="1">SUM(schedule3_total!L58:R58)</f>
        <v>0</v>
      </c>
      <c r="H884" s="149">
        <f ca="1">schedule3_total!S58</f>
        <v>0</v>
      </c>
      <c r="I884" s="149">
        <f ca="1">SUM(schedule3_total!U58:V58)</f>
        <v>0</v>
      </c>
      <c r="J884" s="149">
        <f ca="1">schedule3_total!W58</f>
        <v>0</v>
      </c>
      <c r="K884" s="149">
        <f ca="1">schedule3_total!X58</f>
        <v>0</v>
      </c>
      <c r="L884" s="149">
        <f ca="1">schedule3_total!Y58</f>
        <v>0</v>
      </c>
      <c r="M884" s="149">
        <f ca="1">schedule3_total!Z58</f>
        <v>0</v>
      </c>
      <c r="N884" s="149">
        <f ca="1">schedule3_total!AA58</f>
        <v>0</v>
      </c>
      <c r="O884" s="149">
        <f ca="1">schedule3_total!AB58</f>
        <v>0</v>
      </c>
      <c r="P884" s="354">
        <f t="shared" ca="1" si="85"/>
        <v>0</v>
      </c>
    </row>
    <row r="885" spans="1:16" ht="20.25" customHeight="1">
      <c r="A885" s="106">
        <v>885</v>
      </c>
      <c r="B885" s="4" t="s">
        <v>107</v>
      </c>
      <c r="C885" s="174" t="s">
        <v>303</v>
      </c>
      <c r="D885" s="149" t="s">
        <v>88</v>
      </c>
      <c r="E885" s="149">
        <f ca="1">schedule3_total!J59</f>
        <v>0</v>
      </c>
      <c r="F885" s="149">
        <f ca="1">schedule3_total!K59</f>
        <v>0</v>
      </c>
      <c r="G885" s="149">
        <f ca="1">SUM(schedule3_total!L59:R59)</f>
        <v>0</v>
      </c>
      <c r="H885" s="149">
        <f ca="1">schedule3_total!S59</f>
        <v>0</v>
      </c>
      <c r="I885" s="149">
        <f ca="1">SUM(schedule3_total!U59:V59)</f>
        <v>0</v>
      </c>
      <c r="J885" s="149">
        <f ca="1">schedule3_total!W59</f>
        <v>0</v>
      </c>
      <c r="K885" s="149">
        <f ca="1">schedule3_total!X59</f>
        <v>0</v>
      </c>
      <c r="L885" s="149">
        <f ca="1">schedule3_total!Y59</f>
        <v>0</v>
      </c>
      <c r="M885" s="149">
        <f ca="1">schedule3_total!Z59</f>
        <v>0</v>
      </c>
      <c r="N885" s="149">
        <f ca="1">schedule3_total!AA59</f>
        <v>0</v>
      </c>
      <c r="O885" s="149">
        <f ca="1">schedule3_total!AB59</f>
        <v>0</v>
      </c>
      <c r="P885" s="354">
        <f t="shared" ca="1" si="85"/>
        <v>0</v>
      </c>
    </row>
    <row r="886" spans="1:16" ht="20.25" customHeight="1">
      <c r="A886" s="106">
        <v>886</v>
      </c>
      <c r="B886" s="4"/>
      <c r="C886" s="178">
        <v>3659</v>
      </c>
      <c r="D886" s="179" t="s">
        <v>89</v>
      </c>
      <c r="E886" s="151">
        <f ca="1">schedule3_total!J60</f>
        <v>0</v>
      </c>
      <c r="F886" s="151">
        <f ca="1">schedule3_total!K60</f>
        <v>0</v>
      </c>
      <c r="G886" s="151">
        <f ca="1">SUM(schedule3_total!L60:R60)</f>
        <v>0</v>
      </c>
      <c r="H886" s="151">
        <f ca="1">schedule3_total!S60</f>
        <v>0</v>
      </c>
      <c r="I886" s="151">
        <f ca="1">SUM(schedule3_total!U60:V60)</f>
        <v>0</v>
      </c>
      <c r="J886" s="151">
        <f ca="1">schedule3_total!W60</f>
        <v>0</v>
      </c>
      <c r="K886" s="151">
        <f ca="1">schedule3_total!X60</f>
        <v>0</v>
      </c>
      <c r="L886" s="151">
        <f ca="1">schedule3_total!Y60</f>
        <v>0</v>
      </c>
      <c r="M886" s="151">
        <f ca="1">schedule3_total!Z60</f>
        <v>0</v>
      </c>
      <c r="N886" s="151">
        <f ca="1">schedule3_total!AA60</f>
        <v>0</v>
      </c>
      <c r="O886" s="151">
        <f ca="1">schedule3_total!AB60</f>
        <v>623928</v>
      </c>
      <c r="P886" s="354">
        <f t="shared" ca="1" si="85"/>
        <v>0</v>
      </c>
    </row>
    <row r="887" spans="1:16" ht="20.25" customHeight="1">
      <c r="A887" s="106"/>
      <c r="B887" s="4"/>
      <c r="C887" s="181"/>
      <c r="D887" s="182" t="s">
        <v>108</v>
      </c>
      <c r="E887" s="152"/>
      <c r="F887" s="152"/>
      <c r="G887" s="152"/>
      <c r="H887" s="152"/>
      <c r="I887" s="152"/>
      <c r="J887" s="152"/>
      <c r="K887" s="152"/>
      <c r="L887" s="152"/>
      <c r="M887" s="152"/>
      <c r="N887" s="152"/>
      <c r="O887" s="152"/>
      <c r="P887" s="354">
        <f t="shared" si="85"/>
        <v>0</v>
      </c>
    </row>
    <row r="888" spans="1:16" ht="20.25" customHeight="1">
      <c r="A888" s="106">
        <v>888</v>
      </c>
      <c r="B888" s="4"/>
      <c r="C888" s="174">
        <v>3662</v>
      </c>
      <c r="D888" s="149" t="s">
        <v>91</v>
      </c>
      <c r="E888" s="149">
        <f ca="1">schedule3_total!J62</f>
        <v>0</v>
      </c>
      <c r="F888" s="149">
        <f ca="1">schedule3_total!K62</f>
        <v>0</v>
      </c>
      <c r="G888" s="149">
        <f ca="1">SUM(schedule3_total!L62:R62)</f>
        <v>0</v>
      </c>
      <c r="H888" s="149">
        <f ca="1">schedule3_total!S62</f>
        <v>0</v>
      </c>
      <c r="I888" s="149">
        <f ca="1">SUM(schedule3_total!U62:V62)</f>
        <v>0</v>
      </c>
      <c r="J888" s="149">
        <f ca="1">schedule3_total!W62</f>
        <v>0</v>
      </c>
      <c r="K888" s="149">
        <f ca="1">schedule3_total!X62</f>
        <v>0</v>
      </c>
      <c r="L888" s="149">
        <f ca="1">schedule3_total!Y62</f>
        <v>0</v>
      </c>
      <c r="M888" s="149">
        <f ca="1">schedule3_total!Z62</f>
        <v>0</v>
      </c>
      <c r="N888" s="149">
        <f ca="1">schedule3_total!AA62</f>
        <v>0</v>
      </c>
      <c r="O888" s="149">
        <f ca="1">schedule3_total!AB62</f>
        <v>36820</v>
      </c>
      <c r="P888" s="354">
        <f t="shared" ca="1" si="85"/>
        <v>0</v>
      </c>
    </row>
    <row r="889" spans="1:16" ht="20.25" customHeight="1">
      <c r="A889" s="106">
        <v>889</v>
      </c>
      <c r="B889" s="4"/>
      <c r="C889" s="174">
        <v>3663</v>
      </c>
      <c r="D889" s="149" t="s">
        <v>85</v>
      </c>
      <c r="E889" s="149">
        <f ca="1">schedule3_total!J63</f>
        <v>0</v>
      </c>
      <c r="F889" s="149">
        <f ca="1">schedule3_total!K63</f>
        <v>0</v>
      </c>
      <c r="G889" s="149">
        <f ca="1">SUM(schedule3_total!L63:R63)</f>
        <v>0</v>
      </c>
      <c r="H889" s="149">
        <f ca="1">schedule3_total!S63</f>
        <v>0</v>
      </c>
      <c r="I889" s="149">
        <f ca="1">SUM(schedule3_total!U63:V63)</f>
        <v>0</v>
      </c>
      <c r="J889" s="149">
        <f ca="1">schedule3_total!W63</f>
        <v>0</v>
      </c>
      <c r="K889" s="149">
        <f ca="1">schedule3_total!X63</f>
        <v>0</v>
      </c>
      <c r="L889" s="149">
        <f ca="1">schedule3_total!Y63</f>
        <v>0</v>
      </c>
      <c r="M889" s="149">
        <f ca="1">schedule3_total!Z63</f>
        <v>0</v>
      </c>
      <c r="N889" s="149">
        <f ca="1">schedule3_total!AA63</f>
        <v>0</v>
      </c>
      <c r="O889" s="149">
        <f ca="1">schedule3_total!AB63</f>
        <v>0</v>
      </c>
      <c r="P889" s="354">
        <f t="shared" ca="1" si="85"/>
        <v>0</v>
      </c>
    </row>
    <row r="890" spans="1:16" ht="20.25" customHeight="1">
      <c r="A890" s="106">
        <v>890</v>
      </c>
      <c r="B890" s="4"/>
      <c r="C890" s="174">
        <v>3664</v>
      </c>
      <c r="D890" s="149" t="s">
        <v>86</v>
      </c>
      <c r="E890" s="149">
        <f ca="1">schedule3_total!J64</f>
        <v>0</v>
      </c>
      <c r="F890" s="149">
        <f ca="1">schedule3_total!K64</f>
        <v>0</v>
      </c>
      <c r="G890" s="149">
        <f ca="1">SUM(schedule3_total!L64:R64)</f>
        <v>0</v>
      </c>
      <c r="H890" s="149">
        <f ca="1">schedule3_total!S64</f>
        <v>0</v>
      </c>
      <c r="I890" s="149">
        <f ca="1">SUM(schedule3_total!U64:V64)</f>
        <v>0</v>
      </c>
      <c r="J890" s="149">
        <f ca="1">schedule3_total!W64</f>
        <v>0</v>
      </c>
      <c r="K890" s="149">
        <f ca="1">schedule3_total!X64</f>
        <v>0</v>
      </c>
      <c r="L890" s="149">
        <f ca="1">schedule3_total!Y64</f>
        <v>0</v>
      </c>
      <c r="M890" s="149">
        <f ca="1">schedule3_total!Z64</f>
        <v>0</v>
      </c>
      <c r="N890" s="149">
        <f ca="1">schedule3_total!AA64</f>
        <v>0</v>
      </c>
      <c r="O890" s="149">
        <f ca="1">schedule3_total!AB64</f>
        <v>0</v>
      </c>
      <c r="P890" s="354">
        <f t="shared" ca="1" si="85"/>
        <v>0</v>
      </c>
    </row>
    <row r="891" spans="1:16" ht="20.25" customHeight="1">
      <c r="A891" s="106">
        <v>891</v>
      </c>
      <c r="B891" s="4"/>
      <c r="C891" s="174">
        <v>3665</v>
      </c>
      <c r="D891" s="179" t="s">
        <v>89</v>
      </c>
      <c r="E891" s="150">
        <f ca="1">schedule3_total!J65</f>
        <v>0</v>
      </c>
      <c r="F891" s="150">
        <f ca="1">schedule3_total!K65</f>
        <v>0</v>
      </c>
      <c r="G891" s="150">
        <f ca="1">SUM(schedule3_total!L65:R65)</f>
        <v>0</v>
      </c>
      <c r="H891" s="150">
        <f ca="1">schedule3_total!S65</f>
        <v>0</v>
      </c>
      <c r="I891" s="150">
        <f ca="1">SUM(schedule3_total!U65:V65)</f>
        <v>0</v>
      </c>
      <c r="J891" s="150">
        <f ca="1">schedule3_total!W65</f>
        <v>0</v>
      </c>
      <c r="K891" s="150">
        <f ca="1">schedule3_total!X65</f>
        <v>0</v>
      </c>
      <c r="L891" s="150">
        <f ca="1">schedule3_total!Y65</f>
        <v>0</v>
      </c>
      <c r="M891" s="150">
        <f ca="1">schedule3_total!Z65</f>
        <v>0</v>
      </c>
      <c r="N891" s="150">
        <f ca="1">schedule3_total!AA65</f>
        <v>0</v>
      </c>
      <c r="O891" s="149">
        <f ca="1">schedule3_total!AB65</f>
        <v>36820</v>
      </c>
      <c r="P891" s="354">
        <f t="shared" ca="1" si="85"/>
        <v>0</v>
      </c>
    </row>
    <row r="892" spans="1:16" ht="20.25" customHeight="1">
      <c r="A892" s="106"/>
      <c r="B892" s="4"/>
      <c r="C892" s="181"/>
      <c r="D892" s="182" t="s">
        <v>109</v>
      </c>
      <c r="E892" s="152"/>
      <c r="F892" s="152"/>
      <c r="G892" s="152"/>
      <c r="H892" s="152"/>
      <c r="I892" s="152"/>
      <c r="J892" s="152"/>
      <c r="K892" s="152"/>
      <c r="L892" s="152"/>
      <c r="M892" s="152"/>
      <c r="N892" s="152"/>
      <c r="O892" s="152"/>
      <c r="P892" s="354">
        <f t="shared" si="85"/>
        <v>0</v>
      </c>
    </row>
    <row r="893" spans="1:16" ht="20.25" customHeight="1">
      <c r="A893" s="106">
        <v>893</v>
      </c>
      <c r="B893" s="169"/>
      <c r="C893" s="183">
        <v>3667</v>
      </c>
      <c r="D893" s="153" t="s">
        <v>85</v>
      </c>
      <c r="E893" s="153">
        <f ca="1">schedule3_total!J67</f>
        <v>0</v>
      </c>
      <c r="F893" s="153">
        <f ca="1">schedule3_total!K67</f>
        <v>0</v>
      </c>
      <c r="G893" s="153">
        <f ca="1">SUM(schedule3_total!L67:R67)</f>
        <v>0</v>
      </c>
      <c r="H893" s="153">
        <f ca="1">schedule3_total!S67</f>
        <v>0</v>
      </c>
      <c r="I893" s="153">
        <f ca="1">SUM(schedule3_total!U67:V67)</f>
        <v>0</v>
      </c>
      <c r="J893" s="153">
        <f ca="1">schedule3_total!W67</f>
        <v>0</v>
      </c>
      <c r="K893" s="153">
        <f ca="1">schedule3_total!X67</f>
        <v>0</v>
      </c>
      <c r="L893" s="153">
        <f ca="1">schedule3_total!Y67</f>
        <v>0</v>
      </c>
      <c r="M893" s="153">
        <f ca="1">schedule3_total!Z67</f>
        <v>0</v>
      </c>
      <c r="N893" s="153">
        <f ca="1">schedule3_total!AA67</f>
        <v>0</v>
      </c>
      <c r="O893" s="153">
        <f ca="1">schedule3_total!AB67</f>
        <v>132254</v>
      </c>
      <c r="P893" s="354">
        <f t="shared" ca="1" si="85"/>
        <v>0</v>
      </c>
    </row>
    <row r="894" spans="1:16" ht="20.25" customHeight="1">
      <c r="A894" s="106">
        <v>894</v>
      </c>
      <c r="B894" s="169"/>
      <c r="C894" s="174">
        <v>3668</v>
      </c>
      <c r="D894" s="149" t="s">
        <v>86</v>
      </c>
      <c r="E894" s="149">
        <f ca="1">schedule3_total!J68</f>
        <v>0</v>
      </c>
      <c r="F894" s="149">
        <f ca="1">schedule3_total!K68</f>
        <v>0</v>
      </c>
      <c r="G894" s="149">
        <f ca="1">SUM(schedule3_total!L68:R68)</f>
        <v>0</v>
      </c>
      <c r="H894" s="149">
        <f ca="1">schedule3_total!S68</f>
        <v>0</v>
      </c>
      <c r="I894" s="149">
        <f ca="1">SUM(schedule3_total!U68:V68)</f>
        <v>0</v>
      </c>
      <c r="J894" s="149">
        <f ca="1">schedule3_total!W68</f>
        <v>0</v>
      </c>
      <c r="K894" s="149">
        <f ca="1">schedule3_total!X68</f>
        <v>0</v>
      </c>
      <c r="L894" s="149">
        <f ca="1">schedule3_total!Y68</f>
        <v>0</v>
      </c>
      <c r="M894" s="149">
        <f ca="1">schedule3_total!Z68</f>
        <v>0</v>
      </c>
      <c r="N894" s="149">
        <f ca="1">schedule3_total!AA68</f>
        <v>0</v>
      </c>
      <c r="O894" s="153">
        <f ca="1">schedule3_total!AB68</f>
        <v>179920</v>
      </c>
      <c r="P894" s="354">
        <f t="shared" ca="1" si="85"/>
        <v>0</v>
      </c>
    </row>
    <row r="895" spans="1:16" ht="20.25" customHeight="1">
      <c r="A895" s="106">
        <v>895</v>
      </c>
      <c r="B895" s="4"/>
      <c r="C895" s="174">
        <v>3669</v>
      </c>
      <c r="D895" s="175" t="s">
        <v>89</v>
      </c>
      <c r="E895" s="149">
        <f ca="1">schedule3_total!J69</f>
        <v>0</v>
      </c>
      <c r="F895" s="149">
        <f ca="1">schedule3_total!K69</f>
        <v>0</v>
      </c>
      <c r="G895" s="149">
        <f ca="1">SUM(schedule3_total!L69:R69)</f>
        <v>0</v>
      </c>
      <c r="H895" s="149">
        <f ca="1">schedule3_total!S69</f>
        <v>0</v>
      </c>
      <c r="I895" s="149">
        <f ca="1">SUM(schedule3_total!U69:V69)</f>
        <v>0</v>
      </c>
      <c r="J895" s="149">
        <f ca="1">schedule3_total!W69</f>
        <v>0</v>
      </c>
      <c r="K895" s="149">
        <f ca="1">schedule3_total!X69</f>
        <v>0</v>
      </c>
      <c r="L895" s="149">
        <f ca="1">schedule3_total!Y69</f>
        <v>0</v>
      </c>
      <c r="M895" s="149">
        <f ca="1">schedule3_total!Z69</f>
        <v>0</v>
      </c>
      <c r="N895" s="149">
        <f ca="1">schedule3_total!AA69</f>
        <v>0</v>
      </c>
      <c r="O895" s="149">
        <f ca="1">schedule3_total!AB69</f>
        <v>312174</v>
      </c>
      <c r="P895" s="354">
        <f t="shared" ca="1" si="85"/>
        <v>0</v>
      </c>
    </row>
    <row r="896" spans="1:16" ht="20.25" customHeight="1">
      <c r="A896" s="106"/>
      <c r="B896" s="4"/>
      <c r="C896" s="176"/>
      <c r="D896" s="177" t="s">
        <v>110</v>
      </c>
      <c r="E896" s="18"/>
      <c r="F896" s="18"/>
      <c r="G896" s="18"/>
      <c r="H896" s="18"/>
      <c r="I896" s="18"/>
      <c r="J896" s="18"/>
      <c r="K896" s="18"/>
      <c r="L896" s="18"/>
      <c r="M896" s="18"/>
      <c r="N896" s="18"/>
      <c r="O896" s="18"/>
      <c r="P896" s="354">
        <f t="shared" si="85"/>
        <v>0</v>
      </c>
    </row>
    <row r="897" spans="1:16" ht="20.25" customHeight="1">
      <c r="A897" s="106">
        <v>897</v>
      </c>
      <c r="B897" s="169"/>
      <c r="C897" s="174">
        <v>3673</v>
      </c>
      <c r="D897" s="149" t="s">
        <v>85</v>
      </c>
      <c r="E897" s="149">
        <f ca="1">schedule3_total!J71</f>
        <v>0</v>
      </c>
      <c r="F897" s="149">
        <f ca="1">schedule3_total!K71</f>
        <v>0</v>
      </c>
      <c r="G897" s="149">
        <f ca="1">SUM(schedule3_total!L71:R71)</f>
        <v>0</v>
      </c>
      <c r="H897" s="149">
        <f ca="1">schedule3_total!S71</f>
        <v>0</v>
      </c>
      <c r="I897" s="149">
        <f ca="1">SUM(schedule3_total!U71:V71)</f>
        <v>0</v>
      </c>
      <c r="J897" s="149">
        <f ca="1">schedule3_total!W71</f>
        <v>0</v>
      </c>
      <c r="K897" s="149">
        <f ca="1">schedule3_total!X71</f>
        <v>0</v>
      </c>
      <c r="L897" s="149">
        <f ca="1">schedule3_total!Y71</f>
        <v>0</v>
      </c>
      <c r="M897" s="149">
        <f ca="1">schedule3_total!Z71</f>
        <v>0</v>
      </c>
      <c r="N897" s="149">
        <f ca="1">schedule3_total!AA71</f>
        <v>0</v>
      </c>
      <c r="O897" s="149">
        <f ca="1">schedule3_total!AB71</f>
        <v>1157114</v>
      </c>
      <c r="P897" s="354">
        <f t="shared" ca="1" si="85"/>
        <v>0</v>
      </c>
    </row>
    <row r="898" spans="1:16" ht="20.25" customHeight="1">
      <c r="A898" s="106">
        <v>898</v>
      </c>
      <c r="B898" s="169"/>
      <c r="C898" s="174">
        <v>3674</v>
      </c>
      <c r="D898" s="149" t="s">
        <v>86</v>
      </c>
      <c r="E898" s="149">
        <f ca="1">schedule3_total!J72</f>
        <v>0</v>
      </c>
      <c r="F898" s="149">
        <f ca="1">schedule3_total!K72</f>
        <v>0</v>
      </c>
      <c r="G898" s="149">
        <f ca="1">SUM(schedule3_total!L72:R72)</f>
        <v>0</v>
      </c>
      <c r="H898" s="149">
        <f ca="1">schedule3_total!S72</f>
        <v>0</v>
      </c>
      <c r="I898" s="149">
        <f ca="1">SUM(schedule3_total!U72:V72)</f>
        <v>0</v>
      </c>
      <c r="J898" s="149">
        <f ca="1">schedule3_total!W72</f>
        <v>0</v>
      </c>
      <c r="K898" s="149">
        <f ca="1">schedule3_total!X72</f>
        <v>0</v>
      </c>
      <c r="L898" s="149">
        <f ca="1">schedule3_total!Y72</f>
        <v>0</v>
      </c>
      <c r="M898" s="149">
        <f ca="1">schedule3_total!Z72</f>
        <v>0</v>
      </c>
      <c r="N898" s="149">
        <f ca="1">schedule3_total!AA72</f>
        <v>0</v>
      </c>
      <c r="O898" s="149">
        <f ca="1">schedule3_total!AB72</f>
        <v>0</v>
      </c>
      <c r="P898" s="354">
        <f t="shared" ca="1" si="85"/>
        <v>0</v>
      </c>
    </row>
    <row r="899" spans="1:16" ht="20.25" customHeight="1">
      <c r="A899" s="106">
        <v>899</v>
      </c>
      <c r="B899" s="169"/>
      <c r="C899" s="174">
        <v>3675</v>
      </c>
      <c r="D899" s="175" t="s">
        <v>89</v>
      </c>
      <c r="E899" s="149">
        <f ca="1">schedule3_total!J73</f>
        <v>0</v>
      </c>
      <c r="F899" s="149">
        <f ca="1">schedule3_total!K73</f>
        <v>0</v>
      </c>
      <c r="G899" s="149">
        <f ca="1">SUM(schedule3_total!L73:R73)</f>
        <v>0</v>
      </c>
      <c r="H899" s="149">
        <f ca="1">schedule3_total!S73</f>
        <v>0</v>
      </c>
      <c r="I899" s="149">
        <f ca="1">SUM(schedule3_total!U73:V73)</f>
        <v>0</v>
      </c>
      <c r="J899" s="149">
        <f ca="1">schedule3_total!W73</f>
        <v>0</v>
      </c>
      <c r="K899" s="149">
        <f ca="1">schedule3_total!X73</f>
        <v>0</v>
      </c>
      <c r="L899" s="149">
        <f ca="1">schedule3_total!Y73</f>
        <v>0</v>
      </c>
      <c r="M899" s="149">
        <f ca="1">schedule3_total!Z73</f>
        <v>0</v>
      </c>
      <c r="N899" s="149">
        <f ca="1">schedule3_total!AA73</f>
        <v>0</v>
      </c>
      <c r="O899" s="149">
        <f ca="1">schedule3_total!AB73</f>
        <v>1157114</v>
      </c>
      <c r="P899" s="354">
        <f t="shared" ca="1" si="85"/>
        <v>0</v>
      </c>
    </row>
    <row r="900" spans="1:16" ht="20.25" customHeight="1">
      <c r="A900" s="106"/>
      <c r="B900" s="4"/>
      <c r="C900" s="181"/>
      <c r="D900" s="182" t="s">
        <v>111</v>
      </c>
      <c r="E900" s="152"/>
      <c r="F900" s="152"/>
      <c r="G900" s="152"/>
      <c r="H900" s="152"/>
      <c r="I900" s="152"/>
      <c r="J900" s="152"/>
      <c r="K900" s="152"/>
      <c r="L900" s="152"/>
      <c r="M900" s="152"/>
      <c r="N900" s="152"/>
      <c r="O900" s="152"/>
      <c r="P900" s="354">
        <f t="shared" si="85"/>
        <v>0</v>
      </c>
    </row>
    <row r="901" spans="1:16" ht="20.25" customHeight="1">
      <c r="A901" s="106">
        <v>901</v>
      </c>
      <c r="B901" s="4"/>
      <c r="C901" s="174">
        <v>3676</v>
      </c>
      <c r="D901" s="149" t="s">
        <v>91</v>
      </c>
      <c r="E901" s="149">
        <f ca="1">schedule3_total!J75</f>
        <v>0</v>
      </c>
      <c r="F901" s="149">
        <f ca="1">schedule3_total!K75</f>
        <v>0</v>
      </c>
      <c r="G901" s="149">
        <f ca="1">SUM(schedule3_total!L75:R75)</f>
        <v>0</v>
      </c>
      <c r="H901" s="149">
        <f ca="1">schedule3_total!S75</f>
        <v>0</v>
      </c>
      <c r="I901" s="149">
        <f ca="1">SUM(schedule3_total!U75:V75)</f>
        <v>0</v>
      </c>
      <c r="J901" s="149">
        <f ca="1">schedule3_total!W75</f>
        <v>0</v>
      </c>
      <c r="K901" s="149">
        <f ca="1">schedule3_total!X75</f>
        <v>0</v>
      </c>
      <c r="L901" s="149">
        <f ca="1">schedule3_total!Y75</f>
        <v>0</v>
      </c>
      <c r="M901" s="149">
        <f ca="1">schedule3_total!Z75</f>
        <v>0</v>
      </c>
      <c r="N901" s="149">
        <f ca="1">schedule3_total!AA75</f>
        <v>0</v>
      </c>
      <c r="O901" s="149">
        <f ca="1">schedule3_total!AB75</f>
        <v>0</v>
      </c>
      <c r="P901" s="354">
        <f t="shared" ca="1" si="85"/>
        <v>0</v>
      </c>
    </row>
    <row r="902" spans="1:16" ht="20.25" customHeight="1">
      <c r="A902" s="106">
        <v>902</v>
      </c>
      <c r="B902" s="4"/>
      <c r="C902" s="174">
        <v>3677</v>
      </c>
      <c r="D902" s="149" t="s">
        <v>84</v>
      </c>
      <c r="E902" s="149">
        <f ca="1">schedule3_total!J76</f>
        <v>0</v>
      </c>
      <c r="F902" s="149">
        <f ca="1">schedule3_total!K76</f>
        <v>0</v>
      </c>
      <c r="G902" s="149">
        <f ca="1">SUM(schedule3_total!L76:R76)</f>
        <v>0</v>
      </c>
      <c r="H902" s="149">
        <f ca="1">schedule3_total!S76</f>
        <v>0</v>
      </c>
      <c r="I902" s="149">
        <f ca="1">SUM(schedule3_total!U76:V76)</f>
        <v>0</v>
      </c>
      <c r="J902" s="149">
        <f ca="1">schedule3_total!W76</f>
        <v>0</v>
      </c>
      <c r="K902" s="149">
        <f ca="1">schedule3_total!X76</f>
        <v>0</v>
      </c>
      <c r="L902" s="149">
        <f ca="1">schedule3_total!Y76</f>
        <v>0</v>
      </c>
      <c r="M902" s="149">
        <f ca="1">schedule3_total!Z76</f>
        <v>0</v>
      </c>
      <c r="N902" s="149">
        <f ca="1">schedule3_total!AA76</f>
        <v>0</v>
      </c>
      <c r="O902" s="149">
        <f ca="1">schedule3_total!AB76</f>
        <v>0</v>
      </c>
      <c r="P902" s="354">
        <f t="shared" ca="1" si="85"/>
        <v>0</v>
      </c>
    </row>
    <row r="903" spans="1:16" ht="20.25" customHeight="1">
      <c r="A903" s="106">
        <v>903</v>
      </c>
      <c r="B903" s="169"/>
      <c r="C903" s="174">
        <v>3678</v>
      </c>
      <c r="D903" s="149" t="s">
        <v>85</v>
      </c>
      <c r="E903" s="149">
        <f ca="1">schedule3_total!J77</f>
        <v>0</v>
      </c>
      <c r="F903" s="149">
        <f ca="1">schedule3_total!K77</f>
        <v>0</v>
      </c>
      <c r="G903" s="149">
        <f ca="1">SUM(schedule3_total!L77:R77)</f>
        <v>0</v>
      </c>
      <c r="H903" s="149">
        <f ca="1">schedule3_total!S77</f>
        <v>0</v>
      </c>
      <c r="I903" s="149">
        <f ca="1">SUM(schedule3_total!U77:V77)</f>
        <v>0</v>
      </c>
      <c r="J903" s="149">
        <f ca="1">schedule3_total!W77</f>
        <v>0</v>
      </c>
      <c r="K903" s="149">
        <f ca="1">schedule3_total!X77</f>
        <v>0</v>
      </c>
      <c r="L903" s="149">
        <f ca="1">schedule3_total!Y77</f>
        <v>0</v>
      </c>
      <c r="M903" s="149">
        <f ca="1">schedule3_total!Z77</f>
        <v>0</v>
      </c>
      <c r="N903" s="149">
        <f ca="1">schedule3_total!AA77</f>
        <v>0</v>
      </c>
      <c r="O903" s="149">
        <f ca="1">schedule3_total!AB77</f>
        <v>0</v>
      </c>
      <c r="P903" s="354">
        <f t="shared" ca="1" si="85"/>
        <v>0</v>
      </c>
    </row>
    <row r="904" spans="1:16" ht="20.25" customHeight="1">
      <c r="A904" s="106">
        <v>904</v>
      </c>
      <c r="B904" s="169"/>
      <c r="C904" s="174">
        <v>3679</v>
      </c>
      <c r="D904" s="175" t="s">
        <v>89</v>
      </c>
      <c r="E904" s="149">
        <f ca="1">schedule3_total!J78</f>
        <v>0</v>
      </c>
      <c r="F904" s="149">
        <f ca="1">schedule3_total!K78</f>
        <v>0</v>
      </c>
      <c r="G904" s="149">
        <f ca="1">SUM(schedule3_total!L78:R78)</f>
        <v>0</v>
      </c>
      <c r="H904" s="149">
        <f ca="1">schedule3_total!S78</f>
        <v>0</v>
      </c>
      <c r="I904" s="149">
        <f ca="1">SUM(schedule3_total!U78:V78)</f>
        <v>0</v>
      </c>
      <c r="J904" s="149">
        <f ca="1">schedule3_total!W78</f>
        <v>0</v>
      </c>
      <c r="K904" s="149">
        <f ca="1">schedule3_total!X78</f>
        <v>0</v>
      </c>
      <c r="L904" s="149">
        <f ca="1">schedule3_total!Y78</f>
        <v>0</v>
      </c>
      <c r="M904" s="149">
        <f ca="1">schedule3_total!Z78</f>
        <v>0</v>
      </c>
      <c r="N904" s="149">
        <f ca="1">schedule3_total!AA78</f>
        <v>0</v>
      </c>
      <c r="O904" s="149">
        <f ca="1">schedule3_total!AB78</f>
        <v>0</v>
      </c>
      <c r="P904" s="354">
        <f t="shared" ca="1" si="85"/>
        <v>0</v>
      </c>
    </row>
    <row r="905" spans="1:16" ht="20.25" customHeight="1">
      <c r="A905" s="106"/>
      <c r="B905" s="4"/>
      <c r="C905" s="355"/>
      <c r="D905" s="13" t="s">
        <v>112</v>
      </c>
      <c r="E905" s="4"/>
      <c r="F905" s="4"/>
      <c r="G905" s="4"/>
      <c r="H905" s="4"/>
      <c r="I905" s="4"/>
      <c r="J905" s="4"/>
      <c r="K905" s="4"/>
      <c r="L905" s="4"/>
      <c r="M905" s="4"/>
      <c r="N905" s="4"/>
      <c r="O905" s="4"/>
      <c r="P905" s="354">
        <f t="shared" si="85"/>
        <v>0</v>
      </c>
    </row>
    <row r="906" spans="1:16" ht="20.25" customHeight="1">
      <c r="A906" s="106">
        <v>906</v>
      </c>
      <c r="B906" s="4"/>
      <c r="C906" s="314">
        <v>3681</v>
      </c>
      <c r="D906" s="59" t="s">
        <v>86</v>
      </c>
      <c r="E906" s="149">
        <f ca="1">schedule3_total!J80</f>
        <v>0</v>
      </c>
      <c r="F906" s="149">
        <f ca="1">schedule3_total!K80</f>
        <v>0</v>
      </c>
      <c r="G906" s="149">
        <f ca="1">SUM(schedule3_total!L80:R80)</f>
        <v>0</v>
      </c>
      <c r="H906" s="149">
        <f ca="1">schedule3_total!S80</f>
        <v>0</v>
      </c>
      <c r="I906" s="149">
        <f ca="1">SUM(schedule3_total!U80:V80)</f>
        <v>0</v>
      </c>
      <c r="J906" s="149">
        <f ca="1">schedule3_total!W80</f>
        <v>0</v>
      </c>
      <c r="K906" s="149">
        <f ca="1">schedule3_total!X80</f>
        <v>0</v>
      </c>
      <c r="L906" s="149">
        <f ca="1">schedule3_total!Y80</f>
        <v>0</v>
      </c>
      <c r="M906" s="149">
        <f ca="1">schedule3_total!Z80</f>
        <v>0</v>
      </c>
      <c r="N906" s="149">
        <f ca="1">schedule3_total!AA80</f>
        <v>0</v>
      </c>
      <c r="O906" s="149">
        <f ca="1">schedule3_total!AB80</f>
        <v>0</v>
      </c>
      <c r="P906" s="354">
        <f t="shared" ref="P906:P969" ca="1" si="86">SUM(E906:N906)</f>
        <v>0</v>
      </c>
    </row>
    <row r="907" spans="1:16" ht="20.25" customHeight="1">
      <c r="A907" s="106">
        <v>907</v>
      </c>
      <c r="B907" s="4"/>
      <c r="C907" s="314">
        <v>3682</v>
      </c>
      <c r="D907" s="59" t="s">
        <v>87</v>
      </c>
      <c r="E907" s="149">
        <f ca="1">schedule3_total!J81</f>
        <v>0</v>
      </c>
      <c r="F907" s="149">
        <f ca="1">schedule3_total!K81</f>
        <v>0</v>
      </c>
      <c r="G907" s="149">
        <f ca="1">SUM(schedule3_total!L81:R81)</f>
        <v>0</v>
      </c>
      <c r="H907" s="149">
        <f ca="1">schedule3_total!S81</f>
        <v>0</v>
      </c>
      <c r="I907" s="149">
        <f ca="1">SUM(schedule3_total!U81:V81)</f>
        <v>0</v>
      </c>
      <c r="J907" s="149">
        <f ca="1">schedule3_total!W81</f>
        <v>0</v>
      </c>
      <c r="K907" s="149">
        <f ca="1">schedule3_total!X81</f>
        <v>0</v>
      </c>
      <c r="L907" s="149">
        <f ca="1">schedule3_total!Y81</f>
        <v>0</v>
      </c>
      <c r="M907" s="149">
        <f ca="1">schedule3_total!Z81</f>
        <v>0</v>
      </c>
      <c r="N907" s="149">
        <f ca="1">schedule3_total!AA81</f>
        <v>0</v>
      </c>
      <c r="O907" s="149">
        <f ca="1">schedule3_total!AB81</f>
        <v>0</v>
      </c>
      <c r="P907" s="354">
        <f t="shared" ca="1" si="86"/>
        <v>0</v>
      </c>
    </row>
    <row r="908" spans="1:16" ht="20.25" customHeight="1">
      <c r="A908" s="106">
        <v>908</v>
      </c>
      <c r="B908" s="4"/>
      <c r="C908" s="314">
        <v>3685</v>
      </c>
      <c r="D908" s="59" t="s">
        <v>88</v>
      </c>
      <c r="E908" s="149">
        <f ca="1">schedule3_total!J82</f>
        <v>0</v>
      </c>
      <c r="F908" s="149">
        <f ca="1">schedule3_total!K82</f>
        <v>0</v>
      </c>
      <c r="G908" s="149">
        <f ca="1">SUM(schedule3_total!L82:R82)</f>
        <v>0</v>
      </c>
      <c r="H908" s="149">
        <f ca="1">schedule3_total!S82</f>
        <v>0</v>
      </c>
      <c r="I908" s="149">
        <f ca="1">SUM(schedule3_total!U82:V82)</f>
        <v>0</v>
      </c>
      <c r="J908" s="149">
        <f ca="1">schedule3_total!W82</f>
        <v>0</v>
      </c>
      <c r="K908" s="149">
        <f ca="1">schedule3_total!X82</f>
        <v>0</v>
      </c>
      <c r="L908" s="149">
        <f ca="1">schedule3_total!Y82</f>
        <v>0</v>
      </c>
      <c r="M908" s="149">
        <f ca="1">schedule3_total!Z82</f>
        <v>0</v>
      </c>
      <c r="N908" s="149">
        <f ca="1">schedule3_total!AA82</f>
        <v>0</v>
      </c>
      <c r="O908" s="149">
        <f ca="1">schedule3_total!AB82</f>
        <v>0</v>
      </c>
      <c r="P908" s="354">
        <f t="shared" ca="1" si="86"/>
        <v>0</v>
      </c>
    </row>
    <row r="909" spans="1:16" ht="20.25" customHeight="1">
      <c r="A909" s="106">
        <v>909</v>
      </c>
      <c r="B909" s="4"/>
      <c r="C909" s="314">
        <v>3686</v>
      </c>
      <c r="D909" s="307" t="s">
        <v>89</v>
      </c>
      <c r="E909" s="149">
        <f ca="1">schedule3_total!J83</f>
        <v>0</v>
      </c>
      <c r="F909" s="149">
        <f ca="1">schedule3_total!K83</f>
        <v>0</v>
      </c>
      <c r="G909" s="149">
        <f ca="1">SUM(schedule3_total!L83:R83)</f>
        <v>0</v>
      </c>
      <c r="H909" s="149">
        <f ca="1">schedule3_total!S83</f>
        <v>0</v>
      </c>
      <c r="I909" s="149">
        <f ca="1">SUM(schedule3_total!U83:V83)</f>
        <v>0</v>
      </c>
      <c r="J909" s="149">
        <f ca="1">schedule3_total!W83</f>
        <v>0</v>
      </c>
      <c r="K909" s="149">
        <f ca="1">schedule3_total!X83</f>
        <v>0</v>
      </c>
      <c r="L909" s="149">
        <f ca="1">schedule3_total!Y83</f>
        <v>0</v>
      </c>
      <c r="M909" s="149">
        <f ca="1">schedule3_total!Z83</f>
        <v>0</v>
      </c>
      <c r="N909" s="149">
        <f ca="1">schedule3_total!AA83</f>
        <v>0</v>
      </c>
      <c r="O909" s="149">
        <f ca="1">schedule3_total!AB83</f>
        <v>0</v>
      </c>
      <c r="P909" s="354">
        <f t="shared" ca="1" si="86"/>
        <v>0</v>
      </c>
    </row>
    <row r="910" spans="1:16" ht="20.25" customHeight="1">
      <c r="A910" s="106"/>
      <c r="B910" s="4"/>
      <c r="C910" s="176"/>
      <c r="D910" s="177" t="s">
        <v>113</v>
      </c>
      <c r="E910" s="18"/>
      <c r="F910" s="18"/>
      <c r="G910" s="18"/>
      <c r="H910" s="18"/>
      <c r="I910" s="18"/>
      <c r="J910" s="18"/>
      <c r="K910" s="18"/>
      <c r="L910" s="18"/>
      <c r="M910" s="18"/>
      <c r="N910" s="18"/>
      <c r="O910" s="152"/>
      <c r="P910" s="354">
        <f t="shared" si="86"/>
        <v>0</v>
      </c>
    </row>
    <row r="911" spans="1:16" ht="20.25" customHeight="1">
      <c r="A911" s="106">
        <v>911</v>
      </c>
      <c r="B911" s="4"/>
      <c r="C911" s="221">
        <v>3688</v>
      </c>
      <c r="D911" s="149" t="s">
        <v>91</v>
      </c>
      <c r="E911" s="149">
        <f ca="1">schedule3_total!J85</f>
        <v>0</v>
      </c>
      <c r="F911" s="149">
        <f ca="1">schedule3_total!K85</f>
        <v>0</v>
      </c>
      <c r="G911" s="149">
        <f ca="1">SUM(schedule3_total!L85:R85)</f>
        <v>0</v>
      </c>
      <c r="H911" s="149">
        <f ca="1">schedule3_total!S85</f>
        <v>0</v>
      </c>
      <c r="I911" s="149">
        <f ca="1">SUM(schedule3_total!U85:V85)</f>
        <v>0</v>
      </c>
      <c r="J911" s="149">
        <f ca="1">schedule3_total!W85</f>
        <v>0</v>
      </c>
      <c r="K911" s="149">
        <f ca="1">schedule3_total!X85</f>
        <v>0</v>
      </c>
      <c r="L911" s="149">
        <f ca="1">schedule3_total!Y85</f>
        <v>0</v>
      </c>
      <c r="M911" s="149">
        <f ca="1">schedule3_total!Z85</f>
        <v>0</v>
      </c>
      <c r="N911" s="149">
        <f ca="1">schedule3_total!AA85</f>
        <v>0</v>
      </c>
      <c r="O911" s="149">
        <f ca="1">schedule3_total!AB85</f>
        <v>0</v>
      </c>
      <c r="P911" s="354">
        <f t="shared" ca="1" si="86"/>
        <v>0</v>
      </c>
    </row>
    <row r="912" spans="1:16" ht="20.25" customHeight="1">
      <c r="A912" s="106">
        <v>912</v>
      </c>
      <c r="B912" s="169"/>
      <c r="C912" s="221">
        <v>3689</v>
      </c>
      <c r="D912" s="149" t="s">
        <v>84</v>
      </c>
      <c r="E912" s="149">
        <f ca="1">schedule3_total!J86</f>
        <v>0</v>
      </c>
      <c r="F912" s="149">
        <f ca="1">schedule3_total!K86</f>
        <v>0</v>
      </c>
      <c r="G912" s="149">
        <f ca="1">SUM(schedule3_total!L86:R86)</f>
        <v>0</v>
      </c>
      <c r="H912" s="149">
        <f ca="1">schedule3_total!S86</f>
        <v>0</v>
      </c>
      <c r="I912" s="149">
        <f ca="1">SUM(schedule3_total!U86:V86)</f>
        <v>0</v>
      </c>
      <c r="J912" s="149">
        <f ca="1">schedule3_total!W86</f>
        <v>0</v>
      </c>
      <c r="K912" s="149">
        <f ca="1">schedule3_total!X86</f>
        <v>0</v>
      </c>
      <c r="L912" s="149">
        <f ca="1">schedule3_total!Y86</f>
        <v>0</v>
      </c>
      <c r="M912" s="149">
        <f ca="1">schedule3_total!Z86</f>
        <v>0</v>
      </c>
      <c r="N912" s="149">
        <f ca="1">schedule3_total!AA86</f>
        <v>0</v>
      </c>
      <c r="O912" s="149">
        <f ca="1">schedule3_total!AB86</f>
        <v>0</v>
      </c>
      <c r="P912" s="354">
        <f t="shared" ca="1" si="86"/>
        <v>0</v>
      </c>
    </row>
    <row r="913" spans="1:16" ht="20.25" customHeight="1">
      <c r="A913" s="106">
        <v>913</v>
      </c>
      <c r="B913" s="169"/>
      <c r="C913" s="221">
        <v>3690</v>
      </c>
      <c r="D913" s="149" t="s">
        <v>85</v>
      </c>
      <c r="E913" s="149">
        <f ca="1">schedule3_total!J87</f>
        <v>0</v>
      </c>
      <c r="F913" s="149">
        <f ca="1">schedule3_total!K87</f>
        <v>0</v>
      </c>
      <c r="G913" s="149">
        <f ca="1">SUM(schedule3_total!L87:R87)</f>
        <v>0</v>
      </c>
      <c r="H913" s="149">
        <f ca="1">schedule3_total!S87</f>
        <v>0</v>
      </c>
      <c r="I913" s="149">
        <f ca="1">SUM(schedule3_total!U87:V87)</f>
        <v>0</v>
      </c>
      <c r="J913" s="149">
        <f ca="1">schedule3_total!W87</f>
        <v>0</v>
      </c>
      <c r="K913" s="149">
        <f ca="1">schedule3_total!X87</f>
        <v>0</v>
      </c>
      <c r="L913" s="149">
        <f ca="1">schedule3_total!Y87</f>
        <v>0</v>
      </c>
      <c r="M913" s="149">
        <f ca="1">schedule3_total!Z87</f>
        <v>0</v>
      </c>
      <c r="N913" s="149">
        <f ca="1">schedule3_total!AA87</f>
        <v>0</v>
      </c>
      <c r="O913" s="149">
        <f ca="1">schedule3_total!AB87</f>
        <v>0</v>
      </c>
      <c r="P913" s="354">
        <f t="shared" ca="1" si="86"/>
        <v>0</v>
      </c>
    </row>
    <row r="914" spans="1:16" ht="20.25" customHeight="1">
      <c r="A914" s="106">
        <v>914</v>
      </c>
      <c r="B914" s="169"/>
      <c r="C914" s="221">
        <v>3691</v>
      </c>
      <c r="D914" s="149" t="s">
        <v>86</v>
      </c>
      <c r="E914" s="149">
        <f ca="1">schedule3_total!J88</f>
        <v>0</v>
      </c>
      <c r="F914" s="149">
        <f ca="1">schedule3_total!K88</f>
        <v>0</v>
      </c>
      <c r="G914" s="149">
        <f ca="1">SUM(schedule3_total!L88:R88)</f>
        <v>0</v>
      </c>
      <c r="H914" s="149">
        <f ca="1">schedule3_total!S88</f>
        <v>0</v>
      </c>
      <c r="I914" s="149">
        <f ca="1">SUM(schedule3_total!U88:V88)</f>
        <v>0</v>
      </c>
      <c r="J914" s="149">
        <f ca="1">schedule3_total!W88</f>
        <v>0</v>
      </c>
      <c r="K914" s="149">
        <f ca="1">schedule3_total!X88</f>
        <v>0</v>
      </c>
      <c r="L914" s="149">
        <f ca="1">schedule3_total!Y88</f>
        <v>0</v>
      </c>
      <c r="M914" s="149">
        <f ca="1">schedule3_total!Z88</f>
        <v>0</v>
      </c>
      <c r="N914" s="149">
        <f ca="1">schedule3_total!AA88</f>
        <v>0</v>
      </c>
      <c r="O914" s="149">
        <f ca="1">schedule3_total!AB88</f>
        <v>0</v>
      </c>
      <c r="P914" s="354">
        <f t="shared" ca="1" si="86"/>
        <v>0</v>
      </c>
    </row>
    <row r="915" spans="1:16" ht="20.25" customHeight="1">
      <c r="A915" s="106">
        <v>915</v>
      </c>
      <c r="B915" s="169"/>
      <c r="C915" s="221">
        <v>3692</v>
      </c>
      <c r="D915" s="149" t="s">
        <v>87</v>
      </c>
      <c r="E915" s="149">
        <f ca="1">schedule3_total!J89</f>
        <v>0</v>
      </c>
      <c r="F915" s="149">
        <f ca="1">schedule3_total!K89</f>
        <v>0</v>
      </c>
      <c r="G915" s="149">
        <f ca="1">SUM(schedule3_total!L89:R89)</f>
        <v>0</v>
      </c>
      <c r="H915" s="149">
        <f ca="1">schedule3_total!S89</f>
        <v>0</v>
      </c>
      <c r="I915" s="149">
        <f ca="1">SUM(schedule3_total!U89:V89)</f>
        <v>0</v>
      </c>
      <c r="J915" s="149">
        <f ca="1">schedule3_total!W89</f>
        <v>0</v>
      </c>
      <c r="K915" s="149">
        <f ca="1">schedule3_total!X89</f>
        <v>0</v>
      </c>
      <c r="L915" s="149">
        <f ca="1">schedule3_total!Y89</f>
        <v>0</v>
      </c>
      <c r="M915" s="149">
        <f ca="1">schedule3_total!Z89</f>
        <v>0</v>
      </c>
      <c r="N915" s="149">
        <f ca="1">schedule3_total!AA89</f>
        <v>0</v>
      </c>
      <c r="O915" s="149">
        <f ca="1">schedule3_total!AB89</f>
        <v>0</v>
      </c>
      <c r="P915" s="354">
        <f t="shared" ca="1" si="86"/>
        <v>0</v>
      </c>
    </row>
    <row r="916" spans="1:16" ht="20.25" customHeight="1">
      <c r="A916" s="106">
        <v>916</v>
      </c>
      <c r="B916" s="4"/>
      <c r="C916" s="221">
        <v>3693</v>
      </c>
      <c r="D916" s="149" t="s">
        <v>88</v>
      </c>
      <c r="E916" s="149">
        <f ca="1">schedule3_total!J90</f>
        <v>0</v>
      </c>
      <c r="F916" s="149">
        <f ca="1">schedule3_total!K90</f>
        <v>0</v>
      </c>
      <c r="G916" s="149">
        <f ca="1">SUM(schedule3_total!L90:R90)</f>
        <v>0</v>
      </c>
      <c r="H916" s="149">
        <f ca="1">schedule3_total!S90</f>
        <v>0</v>
      </c>
      <c r="I916" s="149">
        <f ca="1">SUM(schedule3_total!U90:V90)</f>
        <v>0</v>
      </c>
      <c r="J916" s="149">
        <f ca="1">schedule3_total!W90</f>
        <v>0</v>
      </c>
      <c r="K916" s="149">
        <f ca="1">schedule3_total!X90</f>
        <v>0</v>
      </c>
      <c r="L916" s="149">
        <f ca="1">schedule3_total!Y90</f>
        <v>0</v>
      </c>
      <c r="M916" s="149">
        <f ca="1">schedule3_total!Z90</f>
        <v>0</v>
      </c>
      <c r="N916" s="149">
        <f ca="1">schedule3_total!AA90</f>
        <v>0</v>
      </c>
      <c r="O916" s="149">
        <f ca="1">schedule3_total!AB90</f>
        <v>0</v>
      </c>
      <c r="P916" s="354">
        <f t="shared" ca="1" si="86"/>
        <v>0</v>
      </c>
    </row>
    <row r="917" spans="1:16" ht="20.25" customHeight="1">
      <c r="A917" s="106">
        <v>917</v>
      </c>
      <c r="B917" s="4"/>
      <c r="C917" s="221">
        <v>3694</v>
      </c>
      <c r="D917" s="175" t="s">
        <v>89</v>
      </c>
      <c r="E917" s="149">
        <f ca="1">schedule3_total!J91</f>
        <v>0</v>
      </c>
      <c r="F917" s="149">
        <f ca="1">schedule3_total!K91</f>
        <v>0</v>
      </c>
      <c r="G917" s="149">
        <f ca="1">SUM(schedule3_total!L91:R91)</f>
        <v>0</v>
      </c>
      <c r="H917" s="149">
        <f ca="1">schedule3_total!S91</f>
        <v>0</v>
      </c>
      <c r="I917" s="149">
        <f ca="1">SUM(schedule3_total!U91:V91)</f>
        <v>0</v>
      </c>
      <c r="J917" s="149">
        <f ca="1">schedule3_total!W91</f>
        <v>0</v>
      </c>
      <c r="K917" s="149">
        <f ca="1">schedule3_total!X91</f>
        <v>0</v>
      </c>
      <c r="L917" s="149">
        <f ca="1">schedule3_total!Y91</f>
        <v>0</v>
      </c>
      <c r="M917" s="149">
        <f ca="1">schedule3_total!Z91</f>
        <v>0</v>
      </c>
      <c r="N917" s="149">
        <f ca="1">schedule3_total!AA91</f>
        <v>0</v>
      </c>
      <c r="O917" s="149">
        <f ca="1">schedule3_total!AB91</f>
        <v>0</v>
      </c>
      <c r="P917" s="354">
        <f t="shared" ca="1" si="86"/>
        <v>0</v>
      </c>
    </row>
    <row r="918" spans="1:16" ht="20.25" customHeight="1">
      <c r="A918" s="106"/>
      <c r="B918" s="4"/>
      <c r="C918" s="181"/>
      <c r="D918" s="177" t="s">
        <v>114</v>
      </c>
      <c r="E918" s="18"/>
      <c r="F918" s="18"/>
      <c r="G918" s="18"/>
      <c r="H918" s="18"/>
      <c r="I918" s="18"/>
      <c r="J918" s="18"/>
      <c r="K918" s="18"/>
      <c r="L918" s="18"/>
      <c r="M918" s="18"/>
      <c r="N918" s="18"/>
      <c r="O918" s="152"/>
      <c r="P918" s="354">
        <f t="shared" si="86"/>
        <v>0</v>
      </c>
    </row>
    <row r="919" spans="1:16" ht="20.25" customHeight="1">
      <c r="A919" s="106">
        <v>919</v>
      </c>
      <c r="B919" s="169"/>
      <c r="C919" s="221">
        <v>3695</v>
      </c>
      <c r="D919" s="149" t="s">
        <v>91</v>
      </c>
      <c r="E919" s="149">
        <f ca="1">schedule3_total!J93</f>
        <v>0</v>
      </c>
      <c r="F919" s="149">
        <f ca="1">schedule3_total!K93</f>
        <v>0</v>
      </c>
      <c r="G919" s="149">
        <f ca="1">SUM(schedule3_total!L93:R93)</f>
        <v>0</v>
      </c>
      <c r="H919" s="149">
        <f ca="1">schedule3_total!S93</f>
        <v>0</v>
      </c>
      <c r="I919" s="149">
        <f ca="1">SUM(schedule3_total!U93:V93)</f>
        <v>0</v>
      </c>
      <c r="J919" s="149">
        <f ca="1">schedule3_total!W93</f>
        <v>0</v>
      </c>
      <c r="K919" s="149">
        <f ca="1">schedule3_total!X93</f>
        <v>0</v>
      </c>
      <c r="L919" s="149">
        <f ca="1">schedule3_total!Y93</f>
        <v>0</v>
      </c>
      <c r="M919" s="149">
        <f ca="1">schedule3_total!Z93</f>
        <v>0</v>
      </c>
      <c r="N919" s="149">
        <f ca="1">schedule3_total!AA93</f>
        <v>0</v>
      </c>
      <c r="O919" s="149">
        <f ca="1">schedule3_total!AB93</f>
        <v>0</v>
      </c>
      <c r="P919" s="354">
        <f t="shared" ca="1" si="86"/>
        <v>0</v>
      </c>
    </row>
    <row r="920" spans="1:16" ht="20.25" customHeight="1">
      <c r="A920" s="106">
        <v>920</v>
      </c>
      <c r="B920" s="169"/>
      <c r="C920" s="221">
        <v>3696</v>
      </c>
      <c r="D920" s="149" t="s">
        <v>86</v>
      </c>
      <c r="E920" s="149">
        <f ca="1">schedule3_total!J94</f>
        <v>0</v>
      </c>
      <c r="F920" s="149">
        <f ca="1">schedule3_total!K94</f>
        <v>0</v>
      </c>
      <c r="G920" s="149">
        <f ca="1">SUM(schedule3_total!L94:R94)</f>
        <v>0</v>
      </c>
      <c r="H920" s="149">
        <f ca="1">schedule3_total!S94</f>
        <v>0</v>
      </c>
      <c r="I920" s="149">
        <f ca="1">SUM(schedule3_total!U94:V94)</f>
        <v>0</v>
      </c>
      <c r="J920" s="149">
        <f ca="1">schedule3_total!W94</f>
        <v>0</v>
      </c>
      <c r="K920" s="149">
        <f ca="1">schedule3_total!X94</f>
        <v>0</v>
      </c>
      <c r="L920" s="149">
        <f ca="1">schedule3_total!Y94</f>
        <v>0</v>
      </c>
      <c r="M920" s="149">
        <f ca="1">schedule3_total!Z94</f>
        <v>0</v>
      </c>
      <c r="N920" s="149">
        <f ca="1">schedule3_total!AA94</f>
        <v>0</v>
      </c>
      <c r="O920" s="149">
        <f ca="1">schedule3_total!AB94</f>
        <v>0</v>
      </c>
      <c r="P920" s="354">
        <f t="shared" ca="1" si="86"/>
        <v>0</v>
      </c>
    </row>
    <row r="921" spans="1:16" ht="20.25" customHeight="1">
      <c r="A921" s="106">
        <v>921</v>
      </c>
      <c r="B921" s="4"/>
      <c r="C921" s="221">
        <v>3697</v>
      </c>
      <c r="D921" s="149" t="s">
        <v>87</v>
      </c>
      <c r="E921" s="149">
        <f ca="1">schedule3_total!J95</f>
        <v>0</v>
      </c>
      <c r="F921" s="149">
        <f ca="1">schedule3_total!K95</f>
        <v>0</v>
      </c>
      <c r="G921" s="149">
        <f ca="1">SUM(schedule3_total!L95:R95)</f>
        <v>0</v>
      </c>
      <c r="H921" s="149">
        <f ca="1">schedule3_total!S95</f>
        <v>0</v>
      </c>
      <c r="I921" s="149">
        <f ca="1">SUM(schedule3_total!U95:V95)</f>
        <v>0</v>
      </c>
      <c r="J921" s="149">
        <f ca="1">schedule3_total!W95</f>
        <v>0</v>
      </c>
      <c r="K921" s="149">
        <f ca="1">schedule3_total!X95</f>
        <v>0</v>
      </c>
      <c r="L921" s="149">
        <f ca="1">schedule3_total!Y95</f>
        <v>0</v>
      </c>
      <c r="M921" s="149">
        <f ca="1">schedule3_total!Z95</f>
        <v>0</v>
      </c>
      <c r="N921" s="149">
        <f ca="1">schedule3_total!AA95</f>
        <v>0</v>
      </c>
      <c r="O921" s="149">
        <f ca="1">schedule3_total!AB95</f>
        <v>0</v>
      </c>
      <c r="P921" s="354">
        <f t="shared" ca="1" si="86"/>
        <v>0</v>
      </c>
    </row>
    <row r="922" spans="1:16" ht="20.25" customHeight="1">
      <c r="A922" s="106">
        <v>922</v>
      </c>
      <c r="B922" s="4"/>
      <c r="C922" s="221">
        <v>3698</v>
      </c>
      <c r="D922" s="149" t="s">
        <v>88</v>
      </c>
      <c r="E922" s="149">
        <f ca="1">schedule3_total!J96</f>
        <v>0</v>
      </c>
      <c r="F922" s="149">
        <f ca="1">schedule3_total!K96</f>
        <v>0</v>
      </c>
      <c r="G922" s="149">
        <f ca="1">SUM(schedule3_total!L96:R96)</f>
        <v>0</v>
      </c>
      <c r="H922" s="149">
        <f ca="1">schedule3_total!S96</f>
        <v>0</v>
      </c>
      <c r="I922" s="149">
        <f ca="1">SUM(schedule3_total!U96:V96)</f>
        <v>0</v>
      </c>
      <c r="J922" s="149">
        <f ca="1">schedule3_total!W96</f>
        <v>0</v>
      </c>
      <c r="K922" s="149">
        <f ca="1">schedule3_total!X96</f>
        <v>0</v>
      </c>
      <c r="L922" s="149">
        <f ca="1">schedule3_total!Y96</f>
        <v>0</v>
      </c>
      <c r="M922" s="149">
        <f ca="1">schedule3_total!Z96</f>
        <v>0</v>
      </c>
      <c r="N922" s="149">
        <f ca="1">schedule3_total!AA96</f>
        <v>0</v>
      </c>
      <c r="O922" s="149">
        <f ca="1">schedule3_total!AB96</f>
        <v>0</v>
      </c>
      <c r="P922" s="354">
        <f t="shared" ca="1" si="86"/>
        <v>0</v>
      </c>
    </row>
    <row r="923" spans="1:16" ht="20.25" customHeight="1">
      <c r="A923" s="106">
        <v>923</v>
      </c>
      <c r="B923" s="169"/>
      <c r="C923" s="221">
        <v>3699</v>
      </c>
      <c r="D923" s="175" t="s">
        <v>89</v>
      </c>
      <c r="E923" s="149">
        <f ca="1">schedule3_total!J97</f>
        <v>0</v>
      </c>
      <c r="F923" s="149">
        <f ca="1">schedule3_total!K97</f>
        <v>0</v>
      </c>
      <c r="G923" s="149">
        <f ca="1">SUM(schedule3_total!L97:R97)</f>
        <v>0</v>
      </c>
      <c r="H923" s="149">
        <f ca="1">schedule3_total!S97</f>
        <v>0</v>
      </c>
      <c r="I923" s="149">
        <f ca="1">SUM(schedule3_total!U97:V97)</f>
        <v>0</v>
      </c>
      <c r="J923" s="149">
        <f ca="1">schedule3_total!W97</f>
        <v>0</v>
      </c>
      <c r="K923" s="149">
        <f ca="1">schedule3_total!X97</f>
        <v>0</v>
      </c>
      <c r="L923" s="149">
        <f ca="1">schedule3_total!Y97</f>
        <v>0</v>
      </c>
      <c r="M923" s="149">
        <f ca="1">schedule3_total!Z97</f>
        <v>0</v>
      </c>
      <c r="N923" s="149">
        <f ca="1">schedule3_total!AA97</f>
        <v>0</v>
      </c>
      <c r="O923" s="149">
        <f ca="1">schedule3_total!AB97</f>
        <v>0</v>
      </c>
      <c r="P923" s="354">
        <f t="shared" ca="1" si="86"/>
        <v>0</v>
      </c>
    </row>
    <row r="924" spans="1:16" ht="20.25" customHeight="1">
      <c r="A924" s="106"/>
      <c r="B924" s="4"/>
      <c r="C924" s="222"/>
      <c r="D924" s="182" t="s">
        <v>115</v>
      </c>
      <c r="E924" s="152"/>
      <c r="F924" s="152"/>
      <c r="G924" s="152"/>
      <c r="H924" s="152"/>
      <c r="I924" s="152"/>
      <c r="J924" s="152"/>
      <c r="K924" s="152"/>
      <c r="L924" s="152"/>
      <c r="M924" s="152"/>
      <c r="N924" s="152"/>
      <c r="O924" s="152"/>
      <c r="P924" s="354">
        <f t="shared" si="86"/>
        <v>0</v>
      </c>
    </row>
    <row r="925" spans="1:16" ht="20.25" customHeight="1">
      <c r="A925" s="106">
        <v>925</v>
      </c>
      <c r="B925" s="169"/>
      <c r="C925" s="221">
        <v>3700</v>
      </c>
      <c r="D925" s="149" t="s">
        <v>91</v>
      </c>
      <c r="E925" s="149">
        <f ca="1">schedule3_total!J99</f>
        <v>0</v>
      </c>
      <c r="F925" s="149">
        <f ca="1">schedule3_total!K99</f>
        <v>0</v>
      </c>
      <c r="G925" s="149">
        <f ca="1">SUM(schedule3_total!L99:R99)</f>
        <v>0</v>
      </c>
      <c r="H925" s="149">
        <f ca="1">schedule3_total!S99</f>
        <v>0</v>
      </c>
      <c r="I925" s="149">
        <f ca="1">SUM(schedule3_total!U99:V99)</f>
        <v>0</v>
      </c>
      <c r="J925" s="149">
        <f ca="1">schedule3_total!W99</f>
        <v>0</v>
      </c>
      <c r="K925" s="149">
        <f ca="1">schedule3_total!X99</f>
        <v>0</v>
      </c>
      <c r="L925" s="149">
        <f ca="1">schedule3_total!Y99</f>
        <v>0</v>
      </c>
      <c r="M925" s="149">
        <f ca="1">schedule3_total!Z99</f>
        <v>0</v>
      </c>
      <c r="N925" s="149">
        <f ca="1">schedule3_total!AA99</f>
        <v>0</v>
      </c>
      <c r="O925" s="149">
        <f ca="1">schedule3_total!AB99</f>
        <v>0</v>
      </c>
      <c r="P925" s="354">
        <f t="shared" ca="1" si="86"/>
        <v>0</v>
      </c>
    </row>
    <row r="926" spans="1:16" ht="20.25" customHeight="1">
      <c r="A926" s="106"/>
      <c r="B926" s="4"/>
      <c r="C926" s="181"/>
      <c r="D926" s="182" t="s">
        <v>116</v>
      </c>
      <c r="E926" s="152"/>
      <c r="F926" s="152"/>
      <c r="G926" s="152"/>
      <c r="H926" s="152"/>
      <c r="I926" s="152"/>
      <c r="J926" s="152"/>
      <c r="K926" s="152"/>
      <c r="L926" s="152"/>
      <c r="M926" s="152"/>
      <c r="N926" s="152"/>
      <c r="O926" s="152"/>
      <c r="P926" s="354">
        <f t="shared" si="86"/>
        <v>0</v>
      </c>
    </row>
    <row r="927" spans="1:16" ht="20.25" customHeight="1">
      <c r="A927" s="106">
        <v>927</v>
      </c>
      <c r="B927" s="4"/>
      <c r="C927" s="174">
        <v>3701</v>
      </c>
      <c r="D927" s="149" t="s">
        <v>91</v>
      </c>
      <c r="E927" s="149">
        <f ca="1">schedule3_total!J101</f>
        <v>0</v>
      </c>
      <c r="F927" s="149">
        <f ca="1">schedule3_total!K101</f>
        <v>0</v>
      </c>
      <c r="G927" s="149">
        <f ca="1">SUM(schedule3_total!L101:R101)</f>
        <v>0</v>
      </c>
      <c r="H927" s="149">
        <f ca="1">schedule3_total!S101</f>
        <v>0</v>
      </c>
      <c r="I927" s="149">
        <f ca="1">SUM(schedule3_total!U101:V101)</f>
        <v>0</v>
      </c>
      <c r="J927" s="149">
        <f ca="1">schedule3_total!W101</f>
        <v>0</v>
      </c>
      <c r="K927" s="149">
        <f ca="1">schedule3_total!X101</f>
        <v>0</v>
      </c>
      <c r="L927" s="149">
        <f ca="1">schedule3_total!Y101</f>
        <v>0</v>
      </c>
      <c r="M927" s="149">
        <f ca="1">schedule3_total!Z101</f>
        <v>0</v>
      </c>
      <c r="N927" s="149">
        <f ca="1">schedule3_total!AA101</f>
        <v>0</v>
      </c>
      <c r="O927" s="149">
        <f ca="1">schedule3_total!AB101</f>
        <v>0</v>
      </c>
      <c r="P927" s="354">
        <f t="shared" ca="1" si="86"/>
        <v>0</v>
      </c>
    </row>
    <row r="928" spans="1:16" ht="20.25" customHeight="1">
      <c r="A928" s="106">
        <v>928</v>
      </c>
      <c r="B928" s="4"/>
      <c r="C928" s="174">
        <v>3702</v>
      </c>
      <c r="D928" s="149" t="s">
        <v>85</v>
      </c>
      <c r="E928" s="149">
        <f ca="1">schedule3_total!J102</f>
        <v>0</v>
      </c>
      <c r="F928" s="149">
        <f ca="1">schedule3_total!K102</f>
        <v>0</v>
      </c>
      <c r="G928" s="149">
        <f ca="1">SUM(schedule3_total!L102:R102)</f>
        <v>0</v>
      </c>
      <c r="H928" s="149">
        <f ca="1">schedule3_total!S102</f>
        <v>0</v>
      </c>
      <c r="I928" s="149">
        <f ca="1">SUM(schedule3_total!U102:V102)</f>
        <v>0</v>
      </c>
      <c r="J928" s="149">
        <f ca="1">schedule3_total!W102</f>
        <v>0</v>
      </c>
      <c r="K928" s="149">
        <f ca="1">schedule3_total!X102</f>
        <v>0</v>
      </c>
      <c r="L928" s="149">
        <f ca="1">schedule3_total!Y102</f>
        <v>0</v>
      </c>
      <c r="M928" s="149">
        <f ca="1">schedule3_total!Z102</f>
        <v>0</v>
      </c>
      <c r="N928" s="149">
        <f ca="1">schedule3_total!AA102</f>
        <v>0</v>
      </c>
      <c r="O928" s="149">
        <f ca="1">schedule3_total!AB102</f>
        <v>0</v>
      </c>
      <c r="P928" s="354">
        <f t="shared" ca="1" si="86"/>
        <v>0</v>
      </c>
    </row>
    <row r="929" spans="1:16" ht="20.25" customHeight="1">
      <c r="A929" s="106">
        <v>929</v>
      </c>
      <c r="B929" s="169"/>
      <c r="C929" s="174">
        <v>3703</v>
      </c>
      <c r="D929" s="149" t="s">
        <v>87</v>
      </c>
      <c r="E929" s="149">
        <f ca="1">schedule3_total!J103</f>
        <v>0</v>
      </c>
      <c r="F929" s="149">
        <f ca="1">schedule3_total!K103</f>
        <v>0</v>
      </c>
      <c r="G929" s="149">
        <f ca="1">SUM(schedule3_total!L103:R103)</f>
        <v>0</v>
      </c>
      <c r="H929" s="149">
        <f ca="1">schedule3_total!S103</f>
        <v>0</v>
      </c>
      <c r="I929" s="149">
        <f ca="1">SUM(schedule3_total!U103:V103)</f>
        <v>0</v>
      </c>
      <c r="J929" s="149">
        <f ca="1">schedule3_total!W103</f>
        <v>0</v>
      </c>
      <c r="K929" s="149">
        <f ca="1">schedule3_total!X103</f>
        <v>0</v>
      </c>
      <c r="L929" s="149">
        <f ca="1">schedule3_total!Y103</f>
        <v>0</v>
      </c>
      <c r="M929" s="149">
        <f ca="1">schedule3_total!Z103</f>
        <v>0</v>
      </c>
      <c r="N929" s="149">
        <f ca="1">schedule3_total!AA103</f>
        <v>0</v>
      </c>
      <c r="O929" s="149">
        <f ca="1">schedule3_total!AB103</f>
        <v>0</v>
      </c>
      <c r="P929" s="354">
        <f t="shared" ca="1" si="86"/>
        <v>0</v>
      </c>
    </row>
    <row r="930" spans="1:16" ht="20.25" customHeight="1">
      <c r="A930" s="106">
        <v>930</v>
      </c>
      <c r="B930" s="169"/>
      <c r="C930" s="174">
        <v>3704</v>
      </c>
      <c r="D930" s="149" t="s">
        <v>88</v>
      </c>
      <c r="E930" s="149">
        <f ca="1">schedule3_total!J104</f>
        <v>0</v>
      </c>
      <c r="F930" s="149">
        <f ca="1">schedule3_total!K104</f>
        <v>0</v>
      </c>
      <c r="G930" s="149">
        <f ca="1">SUM(schedule3_total!L104:R104)</f>
        <v>0</v>
      </c>
      <c r="H930" s="149">
        <f ca="1">schedule3_total!S104</f>
        <v>0</v>
      </c>
      <c r="I930" s="149">
        <f ca="1">SUM(schedule3_total!U104:V104)</f>
        <v>0</v>
      </c>
      <c r="J930" s="149">
        <f ca="1">schedule3_total!W104</f>
        <v>0</v>
      </c>
      <c r="K930" s="149">
        <f ca="1">schedule3_total!X104</f>
        <v>0</v>
      </c>
      <c r="L930" s="149">
        <f ca="1">schedule3_total!Y104</f>
        <v>0</v>
      </c>
      <c r="M930" s="149">
        <f ca="1">schedule3_total!Z104</f>
        <v>0</v>
      </c>
      <c r="N930" s="149">
        <f ca="1">schedule3_total!AA104</f>
        <v>0</v>
      </c>
      <c r="O930" s="149">
        <f ca="1">schedule3_total!AB104</f>
        <v>0</v>
      </c>
      <c r="P930" s="354">
        <f t="shared" ca="1" si="86"/>
        <v>0</v>
      </c>
    </row>
    <row r="931" spans="1:16" ht="20.25" customHeight="1">
      <c r="A931" s="106">
        <v>931</v>
      </c>
      <c r="B931" s="4"/>
      <c r="C931" s="174">
        <v>3705</v>
      </c>
      <c r="D931" s="175" t="s">
        <v>89</v>
      </c>
      <c r="E931" s="149">
        <f ca="1">schedule3_total!J105</f>
        <v>0</v>
      </c>
      <c r="F931" s="149">
        <f ca="1">schedule3_total!K105</f>
        <v>0</v>
      </c>
      <c r="G931" s="149">
        <f ca="1">SUM(schedule3_total!L105:R105)</f>
        <v>0</v>
      </c>
      <c r="H931" s="149">
        <f ca="1">schedule3_total!S105</f>
        <v>0</v>
      </c>
      <c r="I931" s="149">
        <f ca="1">SUM(schedule3_total!U105:V105)</f>
        <v>0</v>
      </c>
      <c r="J931" s="149">
        <f ca="1">schedule3_total!W105</f>
        <v>0</v>
      </c>
      <c r="K931" s="149">
        <f ca="1">schedule3_total!X105</f>
        <v>0</v>
      </c>
      <c r="L931" s="149">
        <f ca="1">schedule3_total!Y105</f>
        <v>0</v>
      </c>
      <c r="M931" s="149">
        <f ca="1">schedule3_total!Z105</f>
        <v>0</v>
      </c>
      <c r="N931" s="149">
        <f ca="1">schedule3_total!AA105</f>
        <v>0</v>
      </c>
      <c r="O931" s="149">
        <f ca="1">schedule3_total!AB105</f>
        <v>0</v>
      </c>
      <c r="P931" s="354">
        <f t="shared" ca="1" si="86"/>
        <v>0</v>
      </c>
    </row>
    <row r="932" spans="1:16" ht="20.25" customHeight="1">
      <c r="A932" s="106"/>
      <c r="B932" s="4"/>
      <c r="C932" s="176"/>
      <c r="D932" s="177" t="s">
        <v>292</v>
      </c>
      <c r="E932" s="18"/>
      <c r="F932" s="18"/>
      <c r="G932" s="18"/>
      <c r="H932" s="18"/>
      <c r="I932" s="18"/>
      <c r="J932" s="18"/>
      <c r="K932" s="18"/>
      <c r="L932" s="18"/>
      <c r="M932" s="18"/>
      <c r="N932" s="18"/>
      <c r="O932" s="18"/>
      <c r="P932" s="354">
        <f t="shared" si="86"/>
        <v>0</v>
      </c>
    </row>
    <row r="933" spans="1:16" ht="20.25" customHeight="1">
      <c r="A933" s="106">
        <v>933</v>
      </c>
      <c r="B933" s="4"/>
      <c r="C933" s="174">
        <v>3706</v>
      </c>
      <c r="D933" s="149" t="s">
        <v>86</v>
      </c>
      <c r="E933" s="149">
        <f ca="1">schedule3_total!J107</f>
        <v>0</v>
      </c>
      <c r="F933" s="149">
        <f ca="1">schedule3_total!K107</f>
        <v>0</v>
      </c>
      <c r="G933" s="149">
        <f ca="1">SUM(schedule3_total!L107:R107)</f>
        <v>0</v>
      </c>
      <c r="H933" s="149">
        <f ca="1">schedule3_total!S107</f>
        <v>0</v>
      </c>
      <c r="I933" s="149">
        <f ca="1">SUM(schedule3_total!U107:V107)</f>
        <v>0</v>
      </c>
      <c r="J933" s="149">
        <f ca="1">schedule3_total!W107</f>
        <v>0</v>
      </c>
      <c r="K933" s="149">
        <f ca="1">schedule3_total!X107</f>
        <v>0</v>
      </c>
      <c r="L933" s="149">
        <f ca="1">schedule3_total!Y107</f>
        <v>0</v>
      </c>
      <c r="M933" s="149">
        <f ca="1">schedule3_total!Z107</f>
        <v>0</v>
      </c>
      <c r="N933" s="149">
        <f ca="1">schedule3_total!AA107</f>
        <v>0</v>
      </c>
      <c r="O933" s="149">
        <f ca="1">schedule3_total!AB107</f>
        <v>26495</v>
      </c>
      <c r="P933" s="354">
        <f t="shared" ca="1" si="86"/>
        <v>0</v>
      </c>
    </row>
    <row r="934" spans="1:16" ht="20.25" customHeight="1">
      <c r="A934" s="106">
        <v>934</v>
      </c>
      <c r="B934" s="4"/>
      <c r="C934" s="174">
        <v>3707</v>
      </c>
      <c r="D934" s="149" t="s">
        <v>87</v>
      </c>
      <c r="E934" s="149">
        <f ca="1">schedule3_total!J108</f>
        <v>0</v>
      </c>
      <c r="F934" s="149">
        <f ca="1">schedule3_total!K108</f>
        <v>0</v>
      </c>
      <c r="G934" s="149">
        <f ca="1">SUM(schedule3_total!L108:R108)</f>
        <v>0</v>
      </c>
      <c r="H934" s="149">
        <f ca="1">schedule3_total!S108</f>
        <v>0</v>
      </c>
      <c r="I934" s="149">
        <f ca="1">SUM(schedule3_total!U108:V108)</f>
        <v>0</v>
      </c>
      <c r="J934" s="149">
        <f ca="1">schedule3_total!W108</f>
        <v>0</v>
      </c>
      <c r="K934" s="149">
        <f ca="1">schedule3_total!X108</f>
        <v>0</v>
      </c>
      <c r="L934" s="149">
        <f ca="1">schedule3_total!Y108</f>
        <v>0</v>
      </c>
      <c r="M934" s="149">
        <f ca="1">schedule3_total!Z108</f>
        <v>0</v>
      </c>
      <c r="N934" s="149">
        <f ca="1">schedule3_total!AA108</f>
        <v>0</v>
      </c>
      <c r="O934" s="149">
        <f ca="1">schedule3_total!AB108</f>
        <v>0</v>
      </c>
      <c r="P934" s="354">
        <f t="shared" ca="1" si="86"/>
        <v>0</v>
      </c>
    </row>
    <row r="935" spans="1:16" s="357" customFormat="1" ht="20.25" customHeight="1">
      <c r="A935" s="106">
        <v>935</v>
      </c>
      <c r="B935" s="169"/>
      <c r="C935" s="174">
        <v>3708</v>
      </c>
      <c r="D935" s="149" t="s">
        <v>88</v>
      </c>
      <c r="E935" s="149">
        <f ca="1">schedule3_total!J109</f>
        <v>0</v>
      </c>
      <c r="F935" s="149">
        <f ca="1">schedule3_total!K109</f>
        <v>0</v>
      </c>
      <c r="G935" s="149">
        <f ca="1">SUM(schedule3_total!L109:R109)</f>
        <v>0</v>
      </c>
      <c r="H935" s="149">
        <f ca="1">schedule3_total!S109</f>
        <v>0</v>
      </c>
      <c r="I935" s="149">
        <f ca="1">SUM(schedule3_total!U109:V109)</f>
        <v>0</v>
      </c>
      <c r="J935" s="149">
        <f ca="1">schedule3_total!W109</f>
        <v>0</v>
      </c>
      <c r="K935" s="149">
        <f ca="1">schedule3_total!X109</f>
        <v>0</v>
      </c>
      <c r="L935" s="149">
        <f ca="1">schedule3_total!Y109</f>
        <v>0</v>
      </c>
      <c r="M935" s="149">
        <f ca="1">schedule3_total!Z109</f>
        <v>0</v>
      </c>
      <c r="N935" s="149">
        <f ca="1">schedule3_total!AA109</f>
        <v>0</v>
      </c>
      <c r="O935" s="149">
        <f ca="1">schedule3_total!AB109</f>
        <v>0</v>
      </c>
      <c r="P935" s="354">
        <f t="shared" ca="1" si="86"/>
        <v>0</v>
      </c>
    </row>
    <row r="936" spans="1:16" s="357" customFormat="1" ht="20.25" customHeight="1">
      <c r="A936" s="106">
        <v>936</v>
      </c>
      <c r="B936" s="169"/>
      <c r="C936" s="174">
        <v>3709</v>
      </c>
      <c r="D936" s="175" t="s">
        <v>89</v>
      </c>
      <c r="E936" s="149">
        <f ca="1">schedule3_total!J110</f>
        <v>0</v>
      </c>
      <c r="F936" s="149">
        <f ca="1">schedule3_total!K110</f>
        <v>0</v>
      </c>
      <c r="G936" s="149">
        <f ca="1">SUM(schedule3_total!L110:R110)</f>
        <v>0</v>
      </c>
      <c r="H936" s="149">
        <f ca="1">schedule3_total!S110</f>
        <v>0</v>
      </c>
      <c r="I936" s="149">
        <f ca="1">SUM(schedule3_total!U110:V110)</f>
        <v>0</v>
      </c>
      <c r="J936" s="149">
        <f ca="1">schedule3_total!W110</f>
        <v>0</v>
      </c>
      <c r="K936" s="149">
        <f ca="1">schedule3_total!X110</f>
        <v>0</v>
      </c>
      <c r="L936" s="149">
        <f ca="1">schedule3_total!Y110</f>
        <v>0</v>
      </c>
      <c r="M936" s="149">
        <f ca="1">schedule3_total!Z110</f>
        <v>0</v>
      </c>
      <c r="N936" s="149">
        <f ca="1">schedule3_total!AA110</f>
        <v>0</v>
      </c>
      <c r="O936" s="149">
        <f ca="1">schedule3_total!AB110</f>
        <v>26495</v>
      </c>
      <c r="P936" s="354">
        <f t="shared" ca="1" si="86"/>
        <v>0</v>
      </c>
    </row>
    <row r="937" spans="1:16" s="357" customFormat="1" ht="20.25" customHeight="1">
      <c r="A937" s="106"/>
      <c r="B937" s="4"/>
      <c r="C937" s="181"/>
      <c r="D937" s="13" t="s">
        <v>118</v>
      </c>
      <c r="E937" s="152"/>
      <c r="F937" s="152"/>
      <c r="G937" s="152"/>
      <c r="H937" s="152"/>
      <c r="I937" s="152"/>
      <c r="J937" s="152"/>
      <c r="K937" s="152"/>
      <c r="L937" s="152"/>
      <c r="M937" s="152"/>
      <c r="N937" s="152"/>
      <c r="O937" s="152"/>
      <c r="P937" s="354">
        <f t="shared" si="86"/>
        <v>0</v>
      </c>
    </row>
    <row r="938" spans="1:16" s="357" customFormat="1" ht="20.25" customHeight="1">
      <c r="A938" s="106">
        <v>938</v>
      </c>
      <c r="B938" s="4"/>
      <c r="C938" s="174">
        <v>3711</v>
      </c>
      <c r="D938" s="149" t="s">
        <v>87</v>
      </c>
      <c r="E938" s="149">
        <f ca="1">schedule3_total!J112</f>
        <v>0</v>
      </c>
      <c r="F938" s="149">
        <f ca="1">schedule3_total!K112</f>
        <v>0</v>
      </c>
      <c r="G938" s="149">
        <f ca="1">SUM(schedule3_total!L112:R112)</f>
        <v>0</v>
      </c>
      <c r="H938" s="149">
        <f ca="1">schedule3_total!S112</f>
        <v>0</v>
      </c>
      <c r="I938" s="149">
        <f ca="1">SUM(schedule3_total!U112:V112)</f>
        <v>0</v>
      </c>
      <c r="J938" s="149">
        <f ca="1">schedule3_total!W112</f>
        <v>0</v>
      </c>
      <c r="K938" s="149">
        <f ca="1">schedule3_total!X112</f>
        <v>0</v>
      </c>
      <c r="L938" s="149">
        <f ca="1">schedule3_total!Y112</f>
        <v>0</v>
      </c>
      <c r="M938" s="149">
        <f ca="1">schedule3_total!Z112</f>
        <v>0</v>
      </c>
      <c r="N938" s="149">
        <f ca="1">schedule3_total!AA112</f>
        <v>0</v>
      </c>
      <c r="O938" s="149">
        <f ca="1">schedule3_total!AB112</f>
        <v>4281</v>
      </c>
      <c r="P938" s="354">
        <f t="shared" ca="1" si="86"/>
        <v>0</v>
      </c>
    </row>
    <row r="939" spans="1:16" ht="20.25" customHeight="1">
      <c r="A939" s="106"/>
      <c r="B939" s="4"/>
      <c r="C939" s="181"/>
      <c r="D939" s="182" t="s">
        <v>119</v>
      </c>
      <c r="E939" s="152"/>
      <c r="F939" s="152"/>
      <c r="G939" s="152"/>
      <c r="H939" s="152"/>
      <c r="I939" s="152"/>
      <c r="J939" s="152"/>
      <c r="K939" s="152"/>
      <c r="L939" s="152"/>
      <c r="M939" s="152"/>
      <c r="N939" s="152"/>
      <c r="O939" s="152"/>
      <c r="P939" s="354">
        <f t="shared" si="86"/>
        <v>0</v>
      </c>
    </row>
    <row r="940" spans="1:16" ht="20.25" customHeight="1">
      <c r="A940" s="106">
        <v>940</v>
      </c>
      <c r="B940" s="169"/>
      <c r="C940" s="174">
        <v>3714</v>
      </c>
      <c r="D940" s="149" t="s">
        <v>86</v>
      </c>
      <c r="E940" s="149">
        <f ca="1">schedule3_total!J114</f>
        <v>0</v>
      </c>
      <c r="F940" s="149">
        <f ca="1">schedule3_total!K114</f>
        <v>0</v>
      </c>
      <c r="G940" s="149">
        <f ca="1">SUM(schedule3_total!L114:R114)</f>
        <v>0</v>
      </c>
      <c r="H940" s="149">
        <f ca="1">schedule3_total!S114</f>
        <v>0</v>
      </c>
      <c r="I940" s="149">
        <f ca="1">SUM(schedule3_total!U114:V114)</f>
        <v>0</v>
      </c>
      <c r="J940" s="149">
        <f ca="1">schedule3_total!W114</f>
        <v>0</v>
      </c>
      <c r="K940" s="149">
        <f ca="1">schedule3_total!X114</f>
        <v>0</v>
      </c>
      <c r="L940" s="149">
        <f ca="1">schedule3_total!Y114</f>
        <v>0</v>
      </c>
      <c r="M940" s="149">
        <f ca="1">schedule3_total!Z114</f>
        <v>0</v>
      </c>
      <c r="N940" s="149">
        <f ca="1">schedule3_total!AA114</f>
        <v>0</v>
      </c>
      <c r="O940" s="149">
        <f ca="1">schedule3_total!AB114</f>
        <v>0</v>
      </c>
      <c r="P940" s="354">
        <f t="shared" ca="1" si="86"/>
        <v>0</v>
      </c>
    </row>
    <row r="941" spans="1:16" ht="20.25" customHeight="1">
      <c r="A941" s="106">
        <v>941</v>
      </c>
      <c r="B941" s="4"/>
      <c r="C941" s="174">
        <v>3715</v>
      </c>
      <c r="D941" s="149" t="s">
        <v>87</v>
      </c>
      <c r="E941" s="149">
        <f ca="1">schedule3_total!J115</f>
        <v>0</v>
      </c>
      <c r="F941" s="149">
        <f ca="1">schedule3_total!K115</f>
        <v>0</v>
      </c>
      <c r="G941" s="149">
        <f ca="1">SUM(schedule3_total!L115:R115)</f>
        <v>0</v>
      </c>
      <c r="H941" s="149">
        <f ca="1">schedule3_total!S115</f>
        <v>0</v>
      </c>
      <c r="I941" s="149">
        <f ca="1">SUM(schedule3_total!U115:V115)</f>
        <v>0</v>
      </c>
      <c r="J941" s="149">
        <f ca="1">schedule3_total!W115</f>
        <v>0</v>
      </c>
      <c r="K941" s="149">
        <f ca="1">schedule3_total!X115</f>
        <v>0</v>
      </c>
      <c r="L941" s="149">
        <f ca="1">schedule3_total!Y115</f>
        <v>0</v>
      </c>
      <c r="M941" s="149">
        <f ca="1">schedule3_total!Z115</f>
        <v>0</v>
      </c>
      <c r="N941" s="149">
        <f ca="1">schedule3_total!AA115</f>
        <v>0</v>
      </c>
      <c r="O941" s="149">
        <f ca="1">schedule3_total!AB115</f>
        <v>81277</v>
      </c>
      <c r="P941" s="354">
        <f t="shared" ca="1" si="86"/>
        <v>0</v>
      </c>
    </row>
    <row r="942" spans="1:16" ht="20.25" customHeight="1">
      <c r="A942" s="106">
        <v>942</v>
      </c>
      <c r="B942" s="4"/>
      <c r="C942" s="174">
        <v>3716</v>
      </c>
      <c r="D942" s="149" t="s">
        <v>88</v>
      </c>
      <c r="E942" s="149">
        <f ca="1">schedule3_total!J116</f>
        <v>0</v>
      </c>
      <c r="F942" s="149">
        <f ca="1">schedule3_total!K116</f>
        <v>0</v>
      </c>
      <c r="G942" s="149">
        <f ca="1">SUM(schedule3_total!L116:R116)</f>
        <v>0</v>
      </c>
      <c r="H942" s="149">
        <f ca="1">schedule3_total!S116</f>
        <v>0</v>
      </c>
      <c r="I942" s="149">
        <f ca="1">SUM(schedule3_total!U116:V116)</f>
        <v>0</v>
      </c>
      <c r="J942" s="149">
        <f ca="1">schedule3_total!W116</f>
        <v>0</v>
      </c>
      <c r="K942" s="149">
        <f ca="1">schedule3_total!X116</f>
        <v>0</v>
      </c>
      <c r="L942" s="149">
        <v>5500</v>
      </c>
      <c r="M942" s="149">
        <f ca="1">schedule3_total!Z116</f>
        <v>0</v>
      </c>
      <c r="N942" s="149">
        <f ca="1">schedule3_total!AA116</f>
        <v>0</v>
      </c>
      <c r="O942" s="149">
        <f ca="1">schedule3_total!AB116</f>
        <v>0</v>
      </c>
      <c r="P942" s="354">
        <f t="shared" ca="1" si="86"/>
        <v>5500</v>
      </c>
    </row>
    <row r="943" spans="1:16" ht="20.25" customHeight="1">
      <c r="A943" s="106">
        <v>943</v>
      </c>
      <c r="B943" s="169"/>
      <c r="C943" s="174">
        <v>3719</v>
      </c>
      <c r="D943" s="175" t="s">
        <v>89</v>
      </c>
      <c r="E943" s="149">
        <f ca="1">schedule3_total!J117</f>
        <v>0</v>
      </c>
      <c r="F943" s="149">
        <f ca="1">schedule3_total!K117</f>
        <v>0</v>
      </c>
      <c r="G943" s="149">
        <f ca="1">SUM(schedule3_total!L117:R117)</f>
        <v>0</v>
      </c>
      <c r="H943" s="149">
        <f ca="1">schedule3_total!S117</f>
        <v>0</v>
      </c>
      <c r="I943" s="149">
        <f ca="1">SUM(schedule3_total!U117:V117)</f>
        <v>0</v>
      </c>
      <c r="J943" s="149">
        <f ca="1">schedule3_total!W117</f>
        <v>0</v>
      </c>
      <c r="K943" s="149">
        <f ca="1">schedule3_total!X117</f>
        <v>0</v>
      </c>
      <c r="L943" s="149">
        <f ca="1">schedule3_total!Y117</f>
        <v>0</v>
      </c>
      <c r="M943" s="149">
        <f ca="1">schedule3_total!Z117</f>
        <v>0</v>
      </c>
      <c r="N943" s="149">
        <f ca="1">schedule3_total!AA117</f>
        <v>0</v>
      </c>
      <c r="O943" s="149">
        <f ca="1">schedule3_total!AB117</f>
        <v>81277</v>
      </c>
      <c r="P943" s="354">
        <f t="shared" ca="1" si="86"/>
        <v>0</v>
      </c>
    </row>
    <row r="944" spans="1:16" ht="20.25" customHeight="1">
      <c r="A944" s="106"/>
      <c r="B944" s="4"/>
      <c r="C944" s="181"/>
      <c r="D944" s="182" t="s">
        <v>120</v>
      </c>
      <c r="E944" s="152"/>
      <c r="F944" s="152"/>
      <c r="G944" s="152"/>
      <c r="H944" s="152"/>
      <c r="I944" s="152"/>
      <c r="J944" s="152"/>
      <c r="K944" s="152"/>
      <c r="L944" s="152"/>
      <c r="M944" s="152"/>
      <c r="N944" s="152"/>
      <c r="O944" s="152"/>
      <c r="P944" s="354">
        <f t="shared" si="86"/>
        <v>0</v>
      </c>
    </row>
    <row r="945" spans="1:16" ht="20.25" customHeight="1">
      <c r="A945" s="106">
        <v>945</v>
      </c>
      <c r="B945" s="169"/>
      <c r="C945" s="174">
        <v>3724</v>
      </c>
      <c r="D945" s="149" t="s">
        <v>86</v>
      </c>
      <c r="E945" s="149">
        <f ca="1">schedule3_total!J119</f>
        <v>0</v>
      </c>
      <c r="F945" s="149">
        <f ca="1">schedule3_total!K119</f>
        <v>0</v>
      </c>
      <c r="G945" s="149">
        <f ca="1">SUM(schedule3_total!L119:R119)</f>
        <v>0</v>
      </c>
      <c r="H945" s="149">
        <f ca="1">schedule3_total!S119</f>
        <v>0</v>
      </c>
      <c r="I945" s="149">
        <f ca="1">SUM(schedule3_total!U119:V119)</f>
        <v>0</v>
      </c>
      <c r="J945" s="149">
        <f ca="1">schedule3_total!W119</f>
        <v>0</v>
      </c>
      <c r="K945" s="149">
        <f ca="1">schedule3_total!X119</f>
        <v>0</v>
      </c>
      <c r="L945" s="149">
        <v>25000</v>
      </c>
      <c r="M945" s="149">
        <f ca="1">schedule3_total!Z119</f>
        <v>0</v>
      </c>
      <c r="N945" s="149">
        <f ca="1">schedule3_total!AA119</f>
        <v>0</v>
      </c>
      <c r="O945" s="149">
        <f ca="1">schedule3_total!AB119</f>
        <v>0</v>
      </c>
      <c r="P945" s="354">
        <f t="shared" ca="1" si="86"/>
        <v>25000</v>
      </c>
    </row>
    <row r="946" spans="1:16" ht="20.25" customHeight="1">
      <c r="A946" s="106">
        <v>946</v>
      </c>
      <c r="B946" s="4"/>
      <c r="C946" s="174">
        <v>3725</v>
      </c>
      <c r="D946" s="149" t="s">
        <v>87</v>
      </c>
      <c r="E946" s="149">
        <f ca="1">schedule3_total!J120</f>
        <v>0</v>
      </c>
      <c r="F946" s="149">
        <f ca="1">schedule3_total!K120</f>
        <v>0</v>
      </c>
      <c r="G946" s="149">
        <f ca="1">SUM(schedule3_total!L120:R120)</f>
        <v>0</v>
      </c>
      <c r="H946" s="149">
        <f ca="1">schedule3_total!S120</f>
        <v>0</v>
      </c>
      <c r="I946" s="149">
        <f ca="1">SUM(schedule3_total!U120:V120)</f>
        <v>0</v>
      </c>
      <c r="J946" s="149">
        <f ca="1">schedule3_total!W120</f>
        <v>0</v>
      </c>
      <c r="K946" s="149">
        <f ca="1">schedule3_total!X120</f>
        <v>0</v>
      </c>
      <c r="L946" s="149">
        <v>25000</v>
      </c>
      <c r="M946" s="149">
        <f ca="1">schedule3_total!Z120</f>
        <v>0</v>
      </c>
      <c r="N946" s="149">
        <f ca="1">schedule3_total!AA120</f>
        <v>0</v>
      </c>
      <c r="O946" s="149">
        <f ca="1">schedule3_total!AB120</f>
        <v>54470</v>
      </c>
      <c r="P946" s="354">
        <f t="shared" ca="1" si="86"/>
        <v>25000</v>
      </c>
    </row>
    <row r="947" spans="1:16" ht="20.25" customHeight="1">
      <c r="A947" s="106">
        <v>947</v>
      </c>
      <c r="B947" s="4"/>
      <c r="C947" s="174">
        <v>3726</v>
      </c>
      <c r="D947" s="149" t="s">
        <v>88</v>
      </c>
      <c r="E947" s="149">
        <f ca="1">schedule3_total!J121</f>
        <v>0</v>
      </c>
      <c r="F947" s="149">
        <f ca="1">schedule3_total!K121</f>
        <v>0</v>
      </c>
      <c r="G947" s="149">
        <f ca="1">SUM(schedule3_total!L121:R121)</f>
        <v>0</v>
      </c>
      <c r="H947" s="149">
        <f ca="1">schedule3_total!S121</f>
        <v>0</v>
      </c>
      <c r="I947" s="149">
        <f ca="1">SUM(schedule3_total!U121:V121)</f>
        <v>0</v>
      </c>
      <c r="J947" s="149">
        <f ca="1">schedule3_total!W121</f>
        <v>0</v>
      </c>
      <c r="K947" s="149">
        <f ca="1">schedule3_total!X121</f>
        <v>0</v>
      </c>
      <c r="L947" s="149">
        <f ca="1">schedule3_total!Y121</f>
        <v>0</v>
      </c>
      <c r="M947" s="149">
        <f ca="1">schedule3_total!Z121</f>
        <v>0</v>
      </c>
      <c r="N947" s="149">
        <f ca="1">schedule3_total!AA121</f>
        <v>0</v>
      </c>
      <c r="O947" s="149">
        <f ca="1">schedule3_total!AB121</f>
        <v>0</v>
      </c>
      <c r="P947" s="354">
        <f t="shared" ca="1" si="86"/>
        <v>0</v>
      </c>
    </row>
    <row r="948" spans="1:16" ht="20.25" customHeight="1">
      <c r="A948" s="106">
        <v>948</v>
      </c>
      <c r="B948" s="169"/>
      <c r="C948" s="174">
        <v>3729</v>
      </c>
      <c r="D948" s="175" t="s">
        <v>89</v>
      </c>
      <c r="E948" s="149">
        <f ca="1">schedule3_total!J122</f>
        <v>0</v>
      </c>
      <c r="F948" s="149">
        <f ca="1">schedule3_total!K122</f>
        <v>0</v>
      </c>
      <c r="G948" s="149">
        <f ca="1">SUM(schedule3_total!L122:R122)</f>
        <v>0</v>
      </c>
      <c r="H948" s="149">
        <f ca="1">schedule3_total!S122</f>
        <v>0</v>
      </c>
      <c r="I948" s="149">
        <f ca="1">SUM(schedule3_total!U122:V122)</f>
        <v>0</v>
      </c>
      <c r="J948" s="149">
        <f ca="1">schedule3_total!W122</f>
        <v>0</v>
      </c>
      <c r="K948" s="149">
        <f ca="1">schedule3_total!X122</f>
        <v>0</v>
      </c>
      <c r="L948" s="149">
        <f ca="1">schedule3_total!Y122</f>
        <v>0</v>
      </c>
      <c r="M948" s="149">
        <f ca="1">schedule3_total!Z122</f>
        <v>0</v>
      </c>
      <c r="N948" s="149">
        <f ca="1">schedule3_total!AA122</f>
        <v>0</v>
      </c>
      <c r="O948" s="149">
        <f ca="1">schedule3_total!AB122</f>
        <v>54470</v>
      </c>
      <c r="P948" s="354">
        <f t="shared" ca="1" si="86"/>
        <v>0</v>
      </c>
    </row>
    <row r="949" spans="1:16" ht="20.25" customHeight="1">
      <c r="A949" s="106"/>
      <c r="B949" s="4"/>
      <c r="C949" s="181"/>
      <c r="D949" s="182" t="s">
        <v>121</v>
      </c>
      <c r="E949" s="152"/>
      <c r="F949" s="152"/>
      <c r="G949" s="152"/>
      <c r="H949" s="152"/>
      <c r="I949" s="152"/>
      <c r="J949" s="152"/>
      <c r="K949" s="152"/>
      <c r="L949" s="152"/>
      <c r="M949" s="152"/>
      <c r="N949" s="152"/>
      <c r="O949" s="152"/>
      <c r="P949" s="354">
        <f t="shared" si="86"/>
        <v>0</v>
      </c>
    </row>
    <row r="950" spans="1:16" ht="20.25" customHeight="1">
      <c r="A950" s="106">
        <v>950</v>
      </c>
      <c r="B950" s="169"/>
      <c r="C950" s="174">
        <v>3735</v>
      </c>
      <c r="D950" s="149" t="s">
        <v>87</v>
      </c>
      <c r="E950" s="149">
        <f ca="1">schedule3_total!J124</f>
        <v>0</v>
      </c>
      <c r="F950" s="149">
        <f ca="1">schedule3_total!K124</f>
        <v>0</v>
      </c>
      <c r="G950" s="149">
        <f ca="1">SUM(schedule3_total!L124:R124)</f>
        <v>0</v>
      </c>
      <c r="H950" s="149">
        <f ca="1">schedule3_total!S124</f>
        <v>0</v>
      </c>
      <c r="I950" s="149">
        <f ca="1">SUM(schedule3_total!U124:V124)</f>
        <v>0</v>
      </c>
      <c r="J950" s="149">
        <f ca="1">schedule3_total!W124</f>
        <v>0</v>
      </c>
      <c r="K950" s="149">
        <f ca="1">schedule3_total!X124</f>
        <v>0</v>
      </c>
      <c r="L950" s="149">
        <f ca="1">schedule3_total!Y124</f>
        <v>0</v>
      </c>
      <c r="M950" s="149">
        <f ca="1">schedule3_total!Z124</f>
        <v>0</v>
      </c>
      <c r="N950" s="149">
        <f ca="1">schedule3_total!AA124</f>
        <v>0</v>
      </c>
      <c r="O950" s="149">
        <f ca="1">schedule3_total!AB124</f>
        <v>60898</v>
      </c>
      <c r="P950" s="354">
        <f t="shared" ca="1" si="86"/>
        <v>0</v>
      </c>
    </row>
    <row r="951" spans="1:16" ht="20.25" customHeight="1">
      <c r="A951" s="106"/>
      <c r="B951" s="4"/>
      <c r="C951" s="176"/>
      <c r="D951" s="177" t="s">
        <v>122</v>
      </c>
      <c r="E951" s="18"/>
      <c r="F951" s="18"/>
      <c r="G951" s="18"/>
      <c r="H951" s="18"/>
      <c r="I951" s="18"/>
      <c r="J951" s="18"/>
      <c r="K951" s="18"/>
      <c r="L951" s="18"/>
      <c r="M951" s="18"/>
      <c r="N951" s="18"/>
      <c r="O951" s="152"/>
      <c r="P951" s="354">
        <f t="shared" si="86"/>
        <v>0</v>
      </c>
    </row>
    <row r="952" spans="1:16" ht="20.25" customHeight="1">
      <c r="A952" s="106">
        <v>952</v>
      </c>
      <c r="B952" s="4"/>
      <c r="C952" s="174">
        <v>3740</v>
      </c>
      <c r="D952" s="149" t="s">
        <v>85</v>
      </c>
      <c r="E952" s="149">
        <f ca="1">schedule3_total!J126</f>
        <v>0</v>
      </c>
      <c r="F952" s="149">
        <f ca="1">schedule3_total!K126</f>
        <v>0</v>
      </c>
      <c r="G952" s="149">
        <f ca="1">SUM(schedule3_total!L126:R126)</f>
        <v>0</v>
      </c>
      <c r="H952" s="149">
        <f ca="1">schedule3_total!S126</f>
        <v>0</v>
      </c>
      <c r="I952" s="149">
        <f ca="1">SUM(schedule3_total!U126:V126)</f>
        <v>0</v>
      </c>
      <c r="J952" s="149">
        <f ca="1">schedule3_total!W126</f>
        <v>0</v>
      </c>
      <c r="K952" s="149">
        <f ca="1">schedule3_total!X126</f>
        <v>0</v>
      </c>
      <c r="L952" s="149">
        <f ca="1">schedule3_total!Y126</f>
        <v>0</v>
      </c>
      <c r="M952" s="149">
        <f ca="1">schedule3_total!Z126</f>
        <v>0</v>
      </c>
      <c r="N952" s="149">
        <f ca="1">schedule3_total!AA126</f>
        <v>0</v>
      </c>
      <c r="O952" s="149">
        <f ca="1">schedule3_total!AB126</f>
        <v>0</v>
      </c>
      <c r="P952" s="354">
        <f t="shared" ca="1" si="86"/>
        <v>0</v>
      </c>
    </row>
    <row r="953" spans="1:16" ht="20.25" customHeight="1">
      <c r="A953" s="106">
        <v>953</v>
      </c>
      <c r="B953" s="4"/>
      <c r="C953" s="174">
        <v>3741</v>
      </c>
      <c r="D953" s="149" t="s">
        <v>86</v>
      </c>
      <c r="E953" s="149">
        <f ca="1">schedule3_total!J127</f>
        <v>0</v>
      </c>
      <c r="F953" s="149">
        <f ca="1">schedule3_total!K127</f>
        <v>0</v>
      </c>
      <c r="G953" s="149">
        <f ca="1">SUM(schedule3_total!L127:R127)</f>
        <v>0</v>
      </c>
      <c r="H953" s="149">
        <f ca="1">schedule3_total!S127</f>
        <v>0</v>
      </c>
      <c r="I953" s="149">
        <f ca="1">SUM(schedule3_total!U127:V127)</f>
        <v>0</v>
      </c>
      <c r="J953" s="149">
        <f ca="1">schedule3_total!W127</f>
        <v>0</v>
      </c>
      <c r="K953" s="149">
        <f ca="1">schedule3_total!X127</f>
        <v>0</v>
      </c>
      <c r="L953" s="149">
        <f ca="1">schedule3_total!Y127</f>
        <v>0</v>
      </c>
      <c r="M953" s="149">
        <f ca="1">schedule3_total!Z127</f>
        <v>0</v>
      </c>
      <c r="N953" s="149">
        <f ca="1">schedule3_total!AA127</f>
        <v>0</v>
      </c>
      <c r="O953" s="149">
        <f ca="1">schedule3_total!AB127</f>
        <v>8205</v>
      </c>
      <c r="P953" s="354">
        <f t="shared" ca="1" si="86"/>
        <v>0</v>
      </c>
    </row>
    <row r="954" spans="1:16" ht="20.25" customHeight="1">
      <c r="A954" s="106">
        <v>954</v>
      </c>
      <c r="B954" s="4"/>
      <c r="C954" s="174">
        <v>3742</v>
      </c>
      <c r="D954" s="149" t="s">
        <v>87</v>
      </c>
      <c r="E954" s="149">
        <f ca="1">schedule3_total!J128</f>
        <v>0</v>
      </c>
      <c r="F954" s="149">
        <f ca="1">schedule3_total!K128</f>
        <v>0</v>
      </c>
      <c r="G954" s="149">
        <f ca="1">SUM(schedule3_total!L128:R128)</f>
        <v>0</v>
      </c>
      <c r="H954" s="149">
        <f ca="1">schedule3_total!S128</f>
        <v>0</v>
      </c>
      <c r="I954" s="149">
        <f ca="1">SUM(schedule3_total!U128:V128)</f>
        <v>0</v>
      </c>
      <c r="J954" s="149">
        <f ca="1">schedule3_total!W128</f>
        <v>0</v>
      </c>
      <c r="K954" s="149">
        <f ca="1">schedule3_total!X128</f>
        <v>0</v>
      </c>
      <c r="L954" s="149">
        <f ca="1">schedule3_total!Y128</f>
        <v>0</v>
      </c>
      <c r="M954" s="149">
        <f ca="1">schedule3_total!Z128</f>
        <v>0</v>
      </c>
      <c r="N954" s="149">
        <f ca="1">schedule3_total!AA128</f>
        <v>0</v>
      </c>
      <c r="O954" s="149">
        <f ca="1">schedule3_total!AB128</f>
        <v>8275</v>
      </c>
      <c r="P954" s="354">
        <f t="shared" ca="1" si="86"/>
        <v>0</v>
      </c>
    </row>
    <row r="955" spans="1:16" ht="20.25" customHeight="1">
      <c r="A955" s="106">
        <v>955</v>
      </c>
      <c r="B955" s="169"/>
      <c r="C955" s="174">
        <v>3743</v>
      </c>
      <c r="D955" s="149" t="s">
        <v>88</v>
      </c>
      <c r="E955" s="149">
        <f ca="1">schedule3_total!J129</f>
        <v>0</v>
      </c>
      <c r="F955" s="149">
        <f ca="1">schedule3_total!K129</f>
        <v>0</v>
      </c>
      <c r="G955" s="149">
        <f ca="1">SUM(schedule3_total!L129:R129)</f>
        <v>0</v>
      </c>
      <c r="H955" s="149">
        <f ca="1">schedule3_total!S129</f>
        <v>0</v>
      </c>
      <c r="I955" s="149">
        <f ca="1">SUM(schedule3_total!U129:V129)</f>
        <v>0</v>
      </c>
      <c r="J955" s="149">
        <f ca="1">schedule3_total!W129</f>
        <v>0</v>
      </c>
      <c r="K955" s="149">
        <f ca="1">schedule3_total!X129</f>
        <v>0</v>
      </c>
      <c r="L955" s="149">
        <f ca="1">schedule3_total!Y129</f>
        <v>0</v>
      </c>
      <c r="M955" s="149">
        <f ca="1">schedule3_total!Z129</f>
        <v>0</v>
      </c>
      <c r="N955" s="149">
        <f ca="1">schedule3_total!AA129</f>
        <v>0</v>
      </c>
      <c r="O955" s="149">
        <f ca="1">schedule3_total!AB129</f>
        <v>4365</v>
      </c>
      <c r="P955" s="354">
        <f t="shared" ca="1" si="86"/>
        <v>0</v>
      </c>
    </row>
    <row r="956" spans="1:16" ht="20.25" customHeight="1">
      <c r="A956" s="106">
        <v>956</v>
      </c>
      <c r="B956" s="169"/>
      <c r="C956" s="174">
        <v>3744</v>
      </c>
      <c r="D956" s="175" t="s">
        <v>89</v>
      </c>
      <c r="E956" s="149">
        <f ca="1">schedule3_total!J130</f>
        <v>0</v>
      </c>
      <c r="F956" s="149">
        <f ca="1">schedule3_total!K130</f>
        <v>0</v>
      </c>
      <c r="G956" s="149">
        <f ca="1">SUM(schedule3_total!L130:R130)</f>
        <v>0</v>
      </c>
      <c r="H956" s="149">
        <f ca="1">schedule3_total!S130</f>
        <v>0</v>
      </c>
      <c r="I956" s="149">
        <f ca="1">SUM(schedule3_total!U130:V130)</f>
        <v>0</v>
      </c>
      <c r="J956" s="149">
        <f ca="1">schedule3_total!W130</f>
        <v>0</v>
      </c>
      <c r="K956" s="149">
        <f ca="1">schedule3_total!X130</f>
        <v>0</v>
      </c>
      <c r="L956" s="149">
        <f ca="1">schedule3_total!Y130</f>
        <v>0</v>
      </c>
      <c r="M956" s="149">
        <f ca="1">schedule3_total!Z130</f>
        <v>0</v>
      </c>
      <c r="N956" s="149">
        <f ca="1">schedule3_total!AA130</f>
        <v>0</v>
      </c>
      <c r="O956" s="149">
        <f ca="1">schedule3_total!AB130</f>
        <v>20845</v>
      </c>
      <c r="P956" s="354">
        <f t="shared" ca="1" si="86"/>
        <v>0</v>
      </c>
    </row>
    <row r="957" spans="1:16" ht="20.25" customHeight="1">
      <c r="A957" s="106"/>
      <c r="B957" s="4"/>
      <c r="C957" s="181"/>
      <c r="D957" s="13" t="s">
        <v>123</v>
      </c>
      <c r="E957" s="152"/>
      <c r="F957" s="152"/>
      <c r="G957" s="152"/>
      <c r="H957" s="152"/>
      <c r="I957" s="152"/>
      <c r="J957" s="152"/>
      <c r="K957" s="152"/>
      <c r="L957" s="152"/>
      <c r="M957" s="152"/>
      <c r="N957" s="152"/>
      <c r="O957" s="152"/>
      <c r="P957" s="354">
        <f t="shared" si="86"/>
        <v>0</v>
      </c>
    </row>
    <row r="958" spans="1:16" ht="20.25" customHeight="1">
      <c r="A958" s="106">
        <v>958</v>
      </c>
      <c r="B958" s="169"/>
      <c r="C958" s="174">
        <v>3745</v>
      </c>
      <c r="D958" s="149" t="s">
        <v>86</v>
      </c>
      <c r="E958" s="149">
        <f ca="1">schedule3_total!J132</f>
        <v>0</v>
      </c>
      <c r="F958" s="149">
        <f ca="1">schedule3_total!K132</f>
        <v>0</v>
      </c>
      <c r="G958" s="149">
        <f ca="1">SUM(schedule3_total!L132:R132)</f>
        <v>0</v>
      </c>
      <c r="H958" s="149">
        <f ca="1">schedule3_total!S132</f>
        <v>0</v>
      </c>
      <c r="I958" s="149">
        <f ca="1">SUM(schedule3_total!U132:V132)</f>
        <v>0</v>
      </c>
      <c r="J958" s="149">
        <f ca="1">schedule3_total!W132</f>
        <v>0</v>
      </c>
      <c r="K958" s="149">
        <f ca="1">schedule3_total!X132</f>
        <v>0</v>
      </c>
      <c r="L958" s="149">
        <f ca="1">schedule3_total!Y132</f>
        <v>0</v>
      </c>
      <c r="M958" s="149">
        <f ca="1">schedule3_total!Z132</f>
        <v>0</v>
      </c>
      <c r="N958" s="149">
        <f ca="1">schedule3_total!AA132</f>
        <v>0</v>
      </c>
      <c r="O958" s="149">
        <f ca="1">schedule3_total!AB132</f>
        <v>50358</v>
      </c>
      <c r="P958" s="354">
        <f t="shared" ca="1" si="86"/>
        <v>0</v>
      </c>
    </row>
    <row r="959" spans="1:16" ht="20.25" customHeight="1">
      <c r="A959" s="106">
        <v>959</v>
      </c>
      <c r="B959" s="169"/>
      <c r="C959" s="174">
        <v>3746</v>
      </c>
      <c r="D959" s="149" t="s">
        <v>87</v>
      </c>
      <c r="E959" s="149">
        <f ca="1">schedule3_total!J133</f>
        <v>0</v>
      </c>
      <c r="F959" s="149">
        <f ca="1">schedule3_total!K133</f>
        <v>0</v>
      </c>
      <c r="G959" s="149">
        <f ca="1">SUM(schedule3_total!L133:R133)</f>
        <v>0</v>
      </c>
      <c r="H959" s="149">
        <f ca="1">schedule3_total!S133</f>
        <v>0</v>
      </c>
      <c r="I959" s="149">
        <f ca="1">SUM(schedule3_total!U133:V133)</f>
        <v>0</v>
      </c>
      <c r="J959" s="149">
        <f ca="1">schedule3_total!W133</f>
        <v>0</v>
      </c>
      <c r="K959" s="149">
        <f ca="1">schedule3_total!X133</f>
        <v>0</v>
      </c>
      <c r="L959" s="149">
        <f ca="1">schedule3_total!Y133</f>
        <v>0</v>
      </c>
      <c r="M959" s="149">
        <f ca="1">schedule3_total!Z133</f>
        <v>0</v>
      </c>
      <c r="N959" s="149">
        <f ca="1">schedule3_total!AA133</f>
        <v>0</v>
      </c>
      <c r="O959" s="149">
        <f ca="1">schedule3_total!AB133</f>
        <v>10364</v>
      </c>
      <c r="P959" s="354">
        <f t="shared" ca="1" si="86"/>
        <v>0</v>
      </c>
    </row>
    <row r="960" spans="1:16" ht="20.25" customHeight="1">
      <c r="A960" s="106">
        <v>960</v>
      </c>
      <c r="B960" s="169"/>
      <c r="C960" s="174">
        <v>3747</v>
      </c>
      <c r="D960" s="149" t="s">
        <v>88</v>
      </c>
      <c r="E960" s="149">
        <f ca="1">schedule3_total!J134</f>
        <v>0</v>
      </c>
      <c r="F960" s="149">
        <f ca="1">schedule3_total!K134</f>
        <v>0</v>
      </c>
      <c r="G960" s="149">
        <f ca="1">SUM(schedule3_total!L134:R134)</f>
        <v>0</v>
      </c>
      <c r="H960" s="149">
        <f ca="1">schedule3_total!S134</f>
        <v>0</v>
      </c>
      <c r="I960" s="149">
        <f ca="1">SUM(schedule3_total!U134:V134)</f>
        <v>0</v>
      </c>
      <c r="J960" s="149">
        <f ca="1">schedule3_total!W134</f>
        <v>0</v>
      </c>
      <c r="K960" s="149">
        <f ca="1">schedule3_total!X134</f>
        <v>0</v>
      </c>
      <c r="L960" s="149">
        <f ca="1">schedule3_total!Y134</f>
        <v>0</v>
      </c>
      <c r="M960" s="149">
        <f ca="1">schedule3_total!Z134</f>
        <v>0</v>
      </c>
      <c r="N960" s="149">
        <f ca="1">schedule3_total!AA134</f>
        <v>0</v>
      </c>
      <c r="O960" s="149">
        <f ca="1">schedule3_total!AB134</f>
        <v>0</v>
      </c>
      <c r="P960" s="354">
        <f t="shared" ca="1" si="86"/>
        <v>0</v>
      </c>
    </row>
    <row r="961" spans="1:16" ht="20.25" customHeight="1">
      <c r="A961" s="106">
        <v>961</v>
      </c>
      <c r="B961" s="169"/>
      <c r="C961" s="174">
        <v>3748</v>
      </c>
      <c r="D961" s="175" t="s">
        <v>89</v>
      </c>
      <c r="E961" s="149">
        <f ca="1">schedule3_total!J135</f>
        <v>0</v>
      </c>
      <c r="F961" s="149">
        <f ca="1">schedule3_total!K135</f>
        <v>0</v>
      </c>
      <c r="G961" s="149">
        <f ca="1">SUM(schedule3_total!L135:R135)</f>
        <v>0</v>
      </c>
      <c r="H961" s="149">
        <f ca="1">schedule3_total!S135</f>
        <v>0</v>
      </c>
      <c r="I961" s="149">
        <f ca="1">SUM(schedule3_total!U135:V135)</f>
        <v>0</v>
      </c>
      <c r="J961" s="149">
        <f ca="1">schedule3_total!W135</f>
        <v>0</v>
      </c>
      <c r="K961" s="149">
        <f ca="1">schedule3_total!X135</f>
        <v>0</v>
      </c>
      <c r="L961" s="149">
        <f ca="1">schedule3_total!Y135</f>
        <v>0</v>
      </c>
      <c r="M961" s="149">
        <f ca="1">schedule3_total!Z135</f>
        <v>0</v>
      </c>
      <c r="N961" s="149">
        <f ca="1">schedule3_total!AA135</f>
        <v>0</v>
      </c>
      <c r="O961" s="149">
        <f ca="1">schedule3_total!AB135</f>
        <v>60721</v>
      </c>
      <c r="P961" s="354">
        <f t="shared" ca="1" si="86"/>
        <v>0</v>
      </c>
    </row>
    <row r="962" spans="1:16" ht="20.25" customHeight="1">
      <c r="A962" s="106"/>
      <c r="B962" s="4"/>
      <c r="C962" s="181"/>
      <c r="D962" s="13" t="s">
        <v>124</v>
      </c>
      <c r="E962" s="152"/>
      <c r="F962" s="152"/>
      <c r="G962" s="152"/>
      <c r="H962" s="152"/>
      <c r="I962" s="152"/>
      <c r="J962" s="152"/>
      <c r="K962" s="152"/>
      <c r="L962" s="152"/>
      <c r="M962" s="152"/>
      <c r="N962" s="152"/>
      <c r="O962" s="152"/>
      <c r="P962" s="354">
        <f t="shared" si="86"/>
        <v>0</v>
      </c>
    </row>
    <row r="963" spans="1:16" ht="20.25" customHeight="1">
      <c r="A963" s="106">
        <v>963</v>
      </c>
      <c r="B963" s="169"/>
      <c r="C963" s="174">
        <v>3749</v>
      </c>
      <c r="D963" s="149" t="s">
        <v>86</v>
      </c>
      <c r="E963" s="149">
        <f ca="1">schedule3_total!J137</f>
        <v>0</v>
      </c>
      <c r="F963" s="149">
        <f ca="1">schedule3_total!K137</f>
        <v>0</v>
      </c>
      <c r="G963" s="149">
        <f ca="1">SUM(schedule3_total!L137:R137)</f>
        <v>0</v>
      </c>
      <c r="H963" s="149">
        <f ca="1">schedule3_total!S137</f>
        <v>0</v>
      </c>
      <c r="I963" s="149">
        <f ca="1">SUM(schedule3_total!U137:V137)</f>
        <v>0</v>
      </c>
      <c r="J963" s="149">
        <f ca="1">schedule3_total!W137</f>
        <v>0</v>
      </c>
      <c r="K963" s="149">
        <f ca="1">schedule3_total!X137</f>
        <v>0</v>
      </c>
      <c r="L963" s="149">
        <f ca="1">schedule3_total!Y137</f>
        <v>0</v>
      </c>
      <c r="M963" s="149">
        <f ca="1">schedule3_total!Z137</f>
        <v>0</v>
      </c>
      <c r="N963" s="149">
        <f ca="1">schedule3_total!AA137</f>
        <v>0</v>
      </c>
      <c r="O963" s="149">
        <f ca="1">schedule3_total!AB137</f>
        <v>0</v>
      </c>
      <c r="P963" s="354">
        <f t="shared" ca="1" si="86"/>
        <v>0</v>
      </c>
    </row>
    <row r="964" spans="1:16" ht="20.25" customHeight="1">
      <c r="A964" s="106">
        <v>964</v>
      </c>
      <c r="B964" s="169"/>
      <c r="C964" s="174">
        <v>3750</v>
      </c>
      <c r="D964" s="149" t="s">
        <v>87</v>
      </c>
      <c r="E964" s="149">
        <f ca="1">schedule3_total!J138</f>
        <v>0</v>
      </c>
      <c r="F964" s="149">
        <f ca="1">schedule3_total!K138</f>
        <v>0</v>
      </c>
      <c r="G964" s="149">
        <f ca="1">SUM(schedule3_total!L138:R138)</f>
        <v>0</v>
      </c>
      <c r="H964" s="149">
        <f ca="1">schedule3_total!S138</f>
        <v>0</v>
      </c>
      <c r="I964" s="149">
        <f ca="1">SUM(schedule3_total!U138:V138)</f>
        <v>0</v>
      </c>
      <c r="J964" s="149">
        <f ca="1">schedule3_total!W138</f>
        <v>0</v>
      </c>
      <c r="K964" s="149">
        <f ca="1">schedule3_total!X138</f>
        <v>0</v>
      </c>
      <c r="L964" s="149">
        <v>50000</v>
      </c>
      <c r="M964" s="149">
        <f ca="1">schedule3_total!Z138</f>
        <v>0</v>
      </c>
      <c r="N964" s="149">
        <f ca="1">schedule3_total!AA138</f>
        <v>0</v>
      </c>
      <c r="O964" s="149">
        <f ca="1">schedule3_total!AB138</f>
        <v>0</v>
      </c>
      <c r="P964" s="354">
        <f t="shared" ca="1" si="86"/>
        <v>50000</v>
      </c>
    </row>
    <row r="965" spans="1:16" ht="20.25" customHeight="1">
      <c r="A965" s="106">
        <v>965</v>
      </c>
      <c r="B965" s="169"/>
      <c r="C965" s="174">
        <v>3751</v>
      </c>
      <c r="D965" s="149" t="s">
        <v>88</v>
      </c>
      <c r="E965" s="149">
        <f ca="1">schedule3_total!J139</f>
        <v>0</v>
      </c>
      <c r="F965" s="149">
        <f ca="1">schedule3_total!K139</f>
        <v>0</v>
      </c>
      <c r="G965" s="149">
        <f ca="1">SUM(schedule3_total!L139:R139)</f>
        <v>0</v>
      </c>
      <c r="H965" s="149">
        <f ca="1">schedule3_total!S139</f>
        <v>0</v>
      </c>
      <c r="I965" s="149">
        <f ca="1">SUM(schedule3_total!U139:V139)</f>
        <v>0</v>
      </c>
      <c r="J965" s="149">
        <f ca="1">schedule3_total!W139</f>
        <v>0</v>
      </c>
      <c r="K965" s="149">
        <f ca="1">schedule3_total!X139</f>
        <v>0</v>
      </c>
      <c r="L965" s="149">
        <f ca="1">schedule3_total!Y139</f>
        <v>0</v>
      </c>
      <c r="M965" s="149">
        <f ca="1">schedule3_total!Z139</f>
        <v>0</v>
      </c>
      <c r="N965" s="149">
        <f ca="1">schedule3_total!AA139</f>
        <v>0</v>
      </c>
      <c r="O965" s="149">
        <f ca="1">schedule3_total!AB139</f>
        <v>0</v>
      </c>
      <c r="P965" s="354">
        <f t="shared" ca="1" si="86"/>
        <v>0</v>
      </c>
    </row>
    <row r="966" spans="1:16" ht="20.25" customHeight="1">
      <c r="A966" s="106">
        <v>966</v>
      </c>
      <c r="B966" s="169"/>
      <c r="C966" s="174">
        <v>3752</v>
      </c>
      <c r="D966" s="175" t="s">
        <v>89</v>
      </c>
      <c r="E966" s="149">
        <f ca="1">schedule3_total!J140</f>
        <v>0</v>
      </c>
      <c r="F966" s="149">
        <f ca="1">schedule3_total!K140</f>
        <v>0</v>
      </c>
      <c r="G966" s="149">
        <f ca="1">SUM(schedule3_total!L140:R140)</f>
        <v>0</v>
      </c>
      <c r="H966" s="149">
        <f ca="1">schedule3_total!S140</f>
        <v>0</v>
      </c>
      <c r="I966" s="149">
        <f ca="1">SUM(schedule3_total!U140:V140)</f>
        <v>0</v>
      </c>
      <c r="J966" s="149">
        <f ca="1">schedule3_total!W140</f>
        <v>0</v>
      </c>
      <c r="K966" s="149">
        <f ca="1">schedule3_total!X140</f>
        <v>0</v>
      </c>
      <c r="L966" s="149">
        <f ca="1">schedule3_total!Y140</f>
        <v>0</v>
      </c>
      <c r="M966" s="149">
        <f ca="1">schedule3_total!Z140</f>
        <v>0</v>
      </c>
      <c r="N966" s="149">
        <f ca="1">schedule3_total!AA140</f>
        <v>0</v>
      </c>
      <c r="O966" s="149">
        <f ca="1">schedule3_total!AB140</f>
        <v>0</v>
      </c>
      <c r="P966" s="354">
        <f t="shared" ca="1" si="86"/>
        <v>0</v>
      </c>
    </row>
    <row r="967" spans="1:16" ht="20.25" customHeight="1">
      <c r="A967" s="106"/>
      <c r="B967" s="4"/>
      <c r="C967" s="181"/>
      <c r="D967" s="13" t="s">
        <v>125</v>
      </c>
      <c r="E967" s="152"/>
      <c r="F967" s="152"/>
      <c r="G967" s="152"/>
      <c r="H967" s="152"/>
      <c r="I967" s="152"/>
      <c r="J967" s="152"/>
      <c r="K967" s="152"/>
      <c r="L967" s="152"/>
      <c r="M967" s="152"/>
      <c r="N967" s="152"/>
      <c r="O967" s="152"/>
      <c r="P967" s="354">
        <f t="shared" si="86"/>
        <v>0</v>
      </c>
    </row>
    <row r="968" spans="1:16" ht="20.25" customHeight="1">
      <c r="A968" s="106">
        <v>968</v>
      </c>
      <c r="B968" s="169"/>
      <c r="C968" s="174">
        <v>3753</v>
      </c>
      <c r="D968" s="149" t="s">
        <v>86</v>
      </c>
      <c r="E968" s="149">
        <f ca="1">schedule3_total!J142</f>
        <v>0</v>
      </c>
      <c r="F968" s="149">
        <f ca="1">schedule3_total!K142</f>
        <v>0</v>
      </c>
      <c r="G968" s="149">
        <f ca="1">SUM(schedule3_total!L142:R142)</f>
        <v>0</v>
      </c>
      <c r="H968" s="149">
        <f ca="1">schedule3_total!S142</f>
        <v>0</v>
      </c>
      <c r="I968" s="149">
        <f ca="1">SUM(schedule3_total!U142:V142)</f>
        <v>0</v>
      </c>
      <c r="J968" s="149">
        <f ca="1">schedule3_total!W142</f>
        <v>0</v>
      </c>
      <c r="K968" s="149">
        <f ca="1">schedule3_total!X142</f>
        <v>0</v>
      </c>
      <c r="L968" s="149">
        <f ca="1">schedule3_total!Y142</f>
        <v>0</v>
      </c>
      <c r="M968" s="149">
        <f ca="1">schedule3_total!Z142</f>
        <v>0</v>
      </c>
      <c r="N968" s="149">
        <f ca="1">schedule3_total!AA142</f>
        <v>0</v>
      </c>
      <c r="O968" s="149">
        <f ca="1">schedule3_total!AB142</f>
        <v>2866</v>
      </c>
      <c r="P968" s="354">
        <f t="shared" ca="1" si="86"/>
        <v>0</v>
      </c>
    </row>
    <row r="969" spans="1:16" ht="20.25" customHeight="1">
      <c r="A969" s="106">
        <v>969</v>
      </c>
      <c r="B969" s="169"/>
      <c r="C969" s="174">
        <v>3754</v>
      </c>
      <c r="D969" s="149" t="s">
        <v>87</v>
      </c>
      <c r="E969" s="149">
        <f ca="1">schedule3_total!J143</f>
        <v>0</v>
      </c>
      <c r="F969" s="149">
        <f ca="1">schedule3_total!K143</f>
        <v>0</v>
      </c>
      <c r="G969" s="149">
        <f ca="1">SUM(schedule3_total!L143:R143)</f>
        <v>0</v>
      </c>
      <c r="H969" s="149">
        <f ca="1">schedule3_total!S143</f>
        <v>0</v>
      </c>
      <c r="I969" s="149">
        <f ca="1">SUM(schedule3_total!U143:V143)</f>
        <v>0</v>
      </c>
      <c r="J969" s="149">
        <f ca="1">schedule3_total!W143</f>
        <v>0</v>
      </c>
      <c r="K969" s="149">
        <f ca="1">schedule3_total!X143</f>
        <v>0</v>
      </c>
      <c r="L969" s="149">
        <f ca="1">schedule3_total!Y143</f>
        <v>0</v>
      </c>
      <c r="M969" s="149">
        <f ca="1">schedule3_total!Z143</f>
        <v>0</v>
      </c>
      <c r="N969" s="149">
        <f ca="1">schedule3_total!AA143</f>
        <v>0</v>
      </c>
      <c r="O969" s="149">
        <f ca="1">schedule3_total!AB143</f>
        <v>0</v>
      </c>
      <c r="P969" s="354">
        <f t="shared" ca="1" si="86"/>
        <v>0</v>
      </c>
    </row>
    <row r="970" spans="1:16" ht="20.25" customHeight="1">
      <c r="A970" s="106">
        <v>970</v>
      </c>
      <c r="B970" s="169"/>
      <c r="C970" s="174">
        <v>3755</v>
      </c>
      <c r="D970" s="149" t="s">
        <v>88</v>
      </c>
      <c r="E970" s="149">
        <f ca="1">schedule3_total!J144</f>
        <v>0</v>
      </c>
      <c r="F970" s="149">
        <f ca="1">schedule3_total!K144</f>
        <v>0</v>
      </c>
      <c r="G970" s="149">
        <f ca="1">SUM(schedule3_total!L144:R144)</f>
        <v>0</v>
      </c>
      <c r="H970" s="149">
        <f ca="1">schedule3_total!S144</f>
        <v>0</v>
      </c>
      <c r="I970" s="149">
        <f ca="1">SUM(schedule3_total!U144:V144)</f>
        <v>0</v>
      </c>
      <c r="J970" s="149">
        <f ca="1">schedule3_total!W144</f>
        <v>0</v>
      </c>
      <c r="K970" s="149">
        <f ca="1">schedule3_total!X144</f>
        <v>0</v>
      </c>
      <c r="L970" s="149">
        <f ca="1">schedule3_total!Y144</f>
        <v>0</v>
      </c>
      <c r="M970" s="149">
        <f ca="1">schedule3_total!Z144</f>
        <v>0</v>
      </c>
      <c r="N970" s="149">
        <f ca="1">schedule3_total!AA144</f>
        <v>0</v>
      </c>
      <c r="O970" s="149">
        <f ca="1">schedule3_total!AB144</f>
        <v>0</v>
      </c>
      <c r="P970" s="354">
        <f t="shared" ref="P970:P996" ca="1" si="87">SUM(E970:N970)</f>
        <v>0</v>
      </c>
    </row>
    <row r="971" spans="1:16" ht="20.25" customHeight="1">
      <c r="A971" s="106">
        <v>971</v>
      </c>
      <c r="B971" s="169"/>
      <c r="C971" s="174">
        <v>3756</v>
      </c>
      <c r="D971" s="175" t="s">
        <v>89</v>
      </c>
      <c r="E971" s="149">
        <f ca="1">schedule3_total!J145</f>
        <v>0</v>
      </c>
      <c r="F971" s="149">
        <f ca="1">schedule3_total!K145</f>
        <v>0</v>
      </c>
      <c r="G971" s="149">
        <f ca="1">SUM(schedule3_total!L145:R145)</f>
        <v>0</v>
      </c>
      <c r="H971" s="149">
        <f ca="1">schedule3_total!S145</f>
        <v>0</v>
      </c>
      <c r="I971" s="149">
        <f ca="1">SUM(schedule3_total!U145:V145)</f>
        <v>0</v>
      </c>
      <c r="J971" s="149">
        <f ca="1">schedule3_total!W145</f>
        <v>0</v>
      </c>
      <c r="K971" s="149">
        <f ca="1">schedule3_total!X145</f>
        <v>0</v>
      </c>
      <c r="L971" s="149">
        <f ca="1">schedule3_total!Y145</f>
        <v>0</v>
      </c>
      <c r="M971" s="149">
        <f ca="1">schedule3_total!Z145</f>
        <v>0</v>
      </c>
      <c r="N971" s="149">
        <f ca="1">schedule3_total!AA145</f>
        <v>0</v>
      </c>
      <c r="O971" s="149">
        <f ca="1">schedule3_total!AB145</f>
        <v>2866</v>
      </c>
      <c r="P971" s="354">
        <f t="shared" ca="1" si="87"/>
        <v>0</v>
      </c>
    </row>
    <row r="972" spans="1:16" ht="20.25" customHeight="1">
      <c r="A972" s="106"/>
      <c r="B972" s="4"/>
      <c r="C972" s="181"/>
      <c r="D972" s="182" t="s">
        <v>293</v>
      </c>
      <c r="E972" s="152"/>
      <c r="F972" s="152"/>
      <c r="G972" s="152"/>
      <c r="H972" s="152"/>
      <c r="I972" s="152"/>
      <c r="J972" s="152"/>
      <c r="K972" s="152"/>
      <c r="L972" s="152"/>
      <c r="M972" s="152"/>
      <c r="N972" s="152"/>
      <c r="O972" s="152"/>
      <c r="P972" s="354">
        <f t="shared" si="87"/>
        <v>0</v>
      </c>
    </row>
    <row r="973" spans="1:16" ht="20.25" customHeight="1">
      <c r="A973" s="106">
        <v>973</v>
      </c>
      <c r="B973" s="169"/>
      <c r="C973" s="174">
        <v>3761</v>
      </c>
      <c r="D973" s="149" t="s">
        <v>91</v>
      </c>
      <c r="E973" s="149">
        <f ca="1">schedule3_total!J147</f>
        <v>0</v>
      </c>
      <c r="F973" s="149">
        <f ca="1">schedule3_total!K147</f>
        <v>0</v>
      </c>
      <c r="G973" s="149">
        <f ca="1">SUM(schedule3_total!L147:R147)</f>
        <v>0</v>
      </c>
      <c r="H973" s="149">
        <f ca="1">schedule3_total!S147</f>
        <v>0</v>
      </c>
      <c r="I973" s="149">
        <f ca="1">SUM(schedule3_total!U147:V147)</f>
        <v>0</v>
      </c>
      <c r="J973" s="149">
        <f ca="1">schedule3_total!W147</f>
        <v>0</v>
      </c>
      <c r="K973" s="149">
        <f ca="1">schedule3_total!X147</f>
        <v>0</v>
      </c>
      <c r="L973" s="149">
        <f ca="1">schedule3_total!Y147</f>
        <v>0</v>
      </c>
      <c r="M973" s="149">
        <f ca="1">schedule3_total!Z147</f>
        <v>0</v>
      </c>
      <c r="N973" s="149">
        <f ca="1">schedule3_total!AA147</f>
        <v>0</v>
      </c>
      <c r="O973" s="149">
        <f ca="1">schedule3_total!AB147</f>
        <v>516356</v>
      </c>
      <c r="P973" s="354">
        <f t="shared" ca="1" si="87"/>
        <v>0</v>
      </c>
    </row>
    <row r="974" spans="1:16" ht="20.25" customHeight="1">
      <c r="A974" s="106">
        <v>974</v>
      </c>
      <c r="B974" s="4"/>
      <c r="C974" s="174">
        <v>3762</v>
      </c>
      <c r="D974" s="149" t="s">
        <v>84</v>
      </c>
      <c r="E974" s="149">
        <f ca="1">schedule3_total!J148</f>
        <v>0</v>
      </c>
      <c r="F974" s="149">
        <f ca="1">schedule3_total!K148</f>
        <v>0</v>
      </c>
      <c r="G974" s="149">
        <f ca="1">SUM(schedule3_total!L148:R148)</f>
        <v>0</v>
      </c>
      <c r="H974" s="149">
        <f ca="1">schedule3_total!S148</f>
        <v>0</v>
      </c>
      <c r="I974" s="149">
        <f ca="1">SUM(schedule3_total!U148:V148)</f>
        <v>0</v>
      </c>
      <c r="J974" s="149">
        <f ca="1">schedule3_total!W148</f>
        <v>0</v>
      </c>
      <c r="K974" s="149">
        <f ca="1">schedule3_total!X148</f>
        <v>0</v>
      </c>
      <c r="L974" s="149">
        <f ca="1">schedule3_total!Y148</f>
        <v>0</v>
      </c>
      <c r="M974" s="149">
        <f ca="1">schedule3_total!Z148</f>
        <v>0</v>
      </c>
      <c r="N974" s="149">
        <f ca="1">schedule3_total!AA148</f>
        <v>0</v>
      </c>
      <c r="O974" s="149">
        <f ca="1">schedule3_total!AB148</f>
        <v>38865</v>
      </c>
      <c r="P974" s="354">
        <f t="shared" ca="1" si="87"/>
        <v>0</v>
      </c>
    </row>
    <row r="975" spans="1:16" ht="20.25" customHeight="1">
      <c r="A975" s="106">
        <v>975</v>
      </c>
      <c r="B975" s="4"/>
      <c r="C975" s="174">
        <v>3763</v>
      </c>
      <c r="D975" s="149" t="s">
        <v>85</v>
      </c>
      <c r="E975" s="149">
        <f ca="1">schedule3_total!J149</f>
        <v>0</v>
      </c>
      <c r="F975" s="149">
        <f ca="1">schedule3_total!K149</f>
        <v>0</v>
      </c>
      <c r="G975" s="149">
        <f ca="1">SUM(schedule3_total!L149:R149)</f>
        <v>0</v>
      </c>
      <c r="H975" s="149">
        <f ca="1">schedule3_total!S149</f>
        <v>0</v>
      </c>
      <c r="I975" s="149">
        <f ca="1">SUM(schedule3_total!U149:V149)</f>
        <v>0</v>
      </c>
      <c r="J975" s="149">
        <f ca="1">schedule3_total!W149</f>
        <v>0</v>
      </c>
      <c r="K975" s="149">
        <f ca="1">schedule3_total!X149</f>
        <v>0</v>
      </c>
      <c r="L975" s="149">
        <f ca="1">schedule3_total!Y149</f>
        <v>0</v>
      </c>
      <c r="M975" s="149">
        <f ca="1">schedule3_total!Z149</f>
        <v>0</v>
      </c>
      <c r="N975" s="149">
        <f ca="1">schedule3_total!AA149</f>
        <v>0</v>
      </c>
      <c r="O975" s="149">
        <f ca="1">schedule3_total!AB149</f>
        <v>5432</v>
      </c>
      <c r="P975" s="354">
        <f t="shared" ca="1" si="87"/>
        <v>0</v>
      </c>
    </row>
    <row r="976" spans="1:16" ht="20.25" customHeight="1">
      <c r="A976" s="106">
        <v>976</v>
      </c>
      <c r="B976" s="169"/>
      <c r="C976" s="174">
        <v>3764</v>
      </c>
      <c r="D976" s="149" t="s">
        <v>86</v>
      </c>
      <c r="E976" s="149">
        <f ca="1">schedule3_total!J150</f>
        <v>0</v>
      </c>
      <c r="F976" s="149">
        <f ca="1">schedule3_total!K150</f>
        <v>0</v>
      </c>
      <c r="G976" s="149">
        <f ca="1">SUM(schedule3_total!L150:R150)</f>
        <v>0</v>
      </c>
      <c r="H976" s="149">
        <f ca="1">schedule3_total!S150</f>
        <v>0</v>
      </c>
      <c r="I976" s="149">
        <f ca="1">SUM(schedule3_total!U150:V150)</f>
        <v>0</v>
      </c>
      <c r="J976" s="149">
        <f ca="1">schedule3_total!W150</f>
        <v>0</v>
      </c>
      <c r="K976" s="149">
        <f ca="1">schedule3_total!X150</f>
        <v>0</v>
      </c>
      <c r="L976" s="149">
        <f ca="1">schedule3_total!Y150</f>
        <v>0</v>
      </c>
      <c r="M976" s="149">
        <f ca="1">schedule3_total!Z150</f>
        <v>0</v>
      </c>
      <c r="N976" s="149">
        <f ca="1">schedule3_total!AA150</f>
        <v>0</v>
      </c>
      <c r="O976" s="149">
        <f ca="1">schedule3_total!AB150</f>
        <v>13887</v>
      </c>
      <c r="P976" s="354">
        <f t="shared" ca="1" si="87"/>
        <v>0</v>
      </c>
    </row>
    <row r="977" spans="1:16" ht="20.25" customHeight="1">
      <c r="A977" s="106">
        <v>977</v>
      </c>
      <c r="B977" s="169"/>
      <c r="C977" s="174">
        <v>3765</v>
      </c>
      <c r="D977" s="149" t="s">
        <v>87</v>
      </c>
      <c r="E977" s="149">
        <f ca="1">schedule3_total!J151</f>
        <v>0</v>
      </c>
      <c r="F977" s="149">
        <f ca="1">schedule3_total!K151</f>
        <v>0</v>
      </c>
      <c r="G977" s="149">
        <f ca="1">SUM(schedule3_total!L151:R151)</f>
        <v>0</v>
      </c>
      <c r="H977" s="149">
        <f ca="1">schedule3_total!S151</f>
        <v>0</v>
      </c>
      <c r="I977" s="149">
        <f ca="1">SUM(schedule3_total!U151:V151)</f>
        <v>0</v>
      </c>
      <c r="J977" s="149">
        <f ca="1">schedule3_total!W151</f>
        <v>0</v>
      </c>
      <c r="K977" s="149">
        <f ca="1">schedule3_total!X151</f>
        <v>0</v>
      </c>
      <c r="L977" s="149">
        <f ca="1">schedule3_total!Y151</f>
        <v>0</v>
      </c>
      <c r="M977" s="149">
        <f ca="1">schedule3_total!Z151</f>
        <v>0</v>
      </c>
      <c r="N977" s="149">
        <f ca="1">schedule3_total!AA151</f>
        <v>0</v>
      </c>
      <c r="O977" s="149">
        <f ca="1">schedule3_total!AB151</f>
        <v>11370</v>
      </c>
      <c r="P977" s="354">
        <f t="shared" ca="1" si="87"/>
        <v>0</v>
      </c>
    </row>
    <row r="978" spans="1:16" ht="20.25" customHeight="1">
      <c r="A978" s="106">
        <v>978</v>
      </c>
      <c r="B978" s="169"/>
      <c r="C978" s="174">
        <v>3766</v>
      </c>
      <c r="D978" s="149" t="s">
        <v>88</v>
      </c>
      <c r="E978" s="149">
        <f ca="1">schedule3_total!J152</f>
        <v>0</v>
      </c>
      <c r="F978" s="149">
        <f ca="1">schedule3_total!K152</f>
        <v>0</v>
      </c>
      <c r="G978" s="149">
        <f ca="1">SUM(schedule3_total!L152:R152)</f>
        <v>0</v>
      </c>
      <c r="H978" s="149">
        <f ca="1">schedule3_total!S152</f>
        <v>0</v>
      </c>
      <c r="I978" s="149">
        <f ca="1">SUM(schedule3_total!U152:V152)</f>
        <v>0</v>
      </c>
      <c r="J978" s="149">
        <f ca="1">schedule3_total!W152</f>
        <v>0</v>
      </c>
      <c r="K978" s="149">
        <f ca="1">schedule3_total!X152</f>
        <v>0</v>
      </c>
      <c r="L978" s="149">
        <f ca="1">schedule3_total!Y152</f>
        <v>0</v>
      </c>
      <c r="M978" s="149">
        <f ca="1">schedule3_total!Z152</f>
        <v>0</v>
      </c>
      <c r="N978" s="149">
        <f ca="1">schedule3_total!AA152</f>
        <v>0</v>
      </c>
      <c r="O978" s="149">
        <f ca="1">schedule3_total!AB152</f>
        <v>12481</v>
      </c>
      <c r="P978" s="354">
        <f t="shared" ca="1" si="87"/>
        <v>0</v>
      </c>
    </row>
    <row r="979" spans="1:16" ht="20.25" customHeight="1">
      <c r="A979" s="106">
        <v>979</v>
      </c>
      <c r="B979" s="169"/>
      <c r="C979" s="174">
        <v>3769</v>
      </c>
      <c r="D979" s="175" t="s">
        <v>89</v>
      </c>
      <c r="E979" s="149">
        <f ca="1">schedule3_total!J153</f>
        <v>0</v>
      </c>
      <c r="F979" s="149">
        <f ca="1">schedule3_total!K153</f>
        <v>0</v>
      </c>
      <c r="G979" s="149">
        <f ca="1">SUM(schedule3_total!L153:R153)</f>
        <v>0</v>
      </c>
      <c r="H979" s="149">
        <f ca="1">schedule3_total!S153</f>
        <v>0</v>
      </c>
      <c r="I979" s="149">
        <f ca="1">SUM(schedule3_total!U153:V153)</f>
        <v>0</v>
      </c>
      <c r="J979" s="149">
        <f ca="1">schedule3_total!W153</f>
        <v>0</v>
      </c>
      <c r="K979" s="149">
        <f ca="1">schedule3_total!X153</f>
        <v>0</v>
      </c>
      <c r="L979" s="149">
        <f ca="1">schedule3_total!Y153</f>
        <v>0</v>
      </c>
      <c r="M979" s="149">
        <f ca="1">schedule3_total!Z153</f>
        <v>0</v>
      </c>
      <c r="N979" s="149">
        <f ca="1">schedule3_total!AA153</f>
        <v>0</v>
      </c>
      <c r="O979" s="149">
        <f ca="1">schedule3_total!AB153</f>
        <v>598390</v>
      </c>
      <c r="P979" s="354">
        <f t="shared" ca="1" si="87"/>
        <v>0</v>
      </c>
    </row>
    <row r="980" spans="1:16" ht="20.25" customHeight="1">
      <c r="A980" s="106"/>
      <c r="B980" s="4"/>
      <c r="C980" s="181"/>
      <c r="D980" s="182" t="s">
        <v>127</v>
      </c>
      <c r="E980" s="152"/>
      <c r="F980" s="152"/>
      <c r="G980" s="152"/>
      <c r="H980" s="152"/>
      <c r="I980" s="152"/>
      <c r="J980" s="152"/>
      <c r="K980" s="152"/>
      <c r="L980" s="152"/>
      <c r="M980" s="152"/>
      <c r="N980" s="152"/>
      <c r="O980" s="152"/>
      <c r="P980" s="354">
        <f t="shared" si="87"/>
        <v>0</v>
      </c>
    </row>
    <row r="981" spans="1:16" ht="20.25" customHeight="1">
      <c r="A981" s="106">
        <v>981</v>
      </c>
      <c r="B981" s="169"/>
      <c r="C981" s="174">
        <v>3771</v>
      </c>
      <c r="D981" s="149" t="s">
        <v>91</v>
      </c>
      <c r="E981" s="149">
        <f ca="1">schedule3_total!J155</f>
        <v>0</v>
      </c>
      <c r="F981" s="149">
        <f ca="1">schedule3_total!K155</f>
        <v>0</v>
      </c>
      <c r="G981" s="149">
        <f ca="1">SUM(schedule3_total!L155:R155)</f>
        <v>0</v>
      </c>
      <c r="H981" s="149">
        <f ca="1">schedule3_total!S155</f>
        <v>0</v>
      </c>
      <c r="I981" s="149">
        <f ca="1">SUM(schedule3_total!U155:V155)</f>
        <v>0</v>
      </c>
      <c r="J981" s="149">
        <f ca="1">schedule3_total!W155</f>
        <v>0</v>
      </c>
      <c r="K981" s="149">
        <f ca="1">schedule3_total!X155</f>
        <v>0</v>
      </c>
      <c r="L981" s="149">
        <f ca="1">schedule3_total!Y155</f>
        <v>0</v>
      </c>
      <c r="M981" s="149">
        <f ca="1">schedule3_total!Z155</f>
        <v>0</v>
      </c>
      <c r="N981" s="149">
        <f ca="1">schedule3_total!AA155</f>
        <v>0</v>
      </c>
      <c r="O981" s="149">
        <f ca="1">schedule3_total!AB155</f>
        <v>0</v>
      </c>
      <c r="P981" s="354">
        <f t="shared" ca="1" si="87"/>
        <v>0</v>
      </c>
    </row>
    <row r="982" spans="1:16" ht="20.25" customHeight="1">
      <c r="A982" s="106">
        <v>982</v>
      </c>
      <c r="B982" s="4"/>
      <c r="C982" s="174">
        <v>3772</v>
      </c>
      <c r="D982" s="149" t="s">
        <v>84</v>
      </c>
      <c r="E982" s="149">
        <f ca="1">schedule3_total!J156</f>
        <v>0</v>
      </c>
      <c r="F982" s="149">
        <f ca="1">schedule3_total!K156</f>
        <v>0</v>
      </c>
      <c r="G982" s="149">
        <f ca="1">SUM(schedule3_total!L156:R156)</f>
        <v>0</v>
      </c>
      <c r="H982" s="149">
        <f ca="1">schedule3_total!S156</f>
        <v>0</v>
      </c>
      <c r="I982" s="149">
        <f ca="1">SUM(schedule3_total!U156:V156)</f>
        <v>0</v>
      </c>
      <c r="J982" s="149">
        <f ca="1">schedule3_total!W156</f>
        <v>0</v>
      </c>
      <c r="K982" s="149">
        <f ca="1">schedule3_total!X156</f>
        <v>0</v>
      </c>
      <c r="L982" s="149">
        <f ca="1">schedule3_total!Y156</f>
        <v>0</v>
      </c>
      <c r="M982" s="149">
        <f ca="1">schedule3_total!Z156</f>
        <v>0</v>
      </c>
      <c r="N982" s="149">
        <f ca="1">schedule3_total!AA156</f>
        <v>0</v>
      </c>
      <c r="O982" s="149">
        <f ca="1">schedule3_total!AB156</f>
        <v>0</v>
      </c>
      <c r="P982" s="354">
        <f t="shared" ca="1" si="87"/>
        <v>0</v>
      </c>
    </row>
    <row r="983" spans="1:16" ht="20.25" customHeight="1">
      <c r="A983" s="106">
        <v>983</v>
      </c>
      <c r="B983" s="4"/>
      <c r="C983" s="174">
        <v>3773</v>
      </c>
      <c r="D983" s="149" t="s">
        <v>85</v>
      </c>
      <c r="E983" s="149">
        <f ca="1">schedule3_total!J157</f>
        <v>0</v>
      </c>
      <c r="F983" s="149">
        <f ca="1">schedule3_total!K157</f>
        <v>0</v>
      </c>
      <c r="G983" s="149">
        <f ca="1">SUM(schedule3_total!L157:R157)</f>
        <v>0</v>
      </c>
      <c r="H983" s="149">
        <f ca="1">schedule3_total!S157</f>
        <v>0</v>
      </c>
      <c r="I983" s="149">
        <f ca="1">SUM(schedule3_total!U157:V157)</f>
        <v>0</v>
      </c>
      <c r="J983" s="149">
        <f ca="1">schedule3_total!W157</f>
        <v>0</v>
      </c>
      <c r="K983" s="149">
        <f ca="1">schedule3_total!X157</f>
        <v>0</v>
      </c>
      <c r="L983" s="149">
        <f ca="1">schedule3_total!Y157</f>
        <v>0</v>
      </c>
      <c r="M983" s="149">
        <f ca="1">schedule3_total!Z157</f>
        <v>0</v>
      </c>
      <c r="N983" s="149">
        <f ca="1">schedule3_total!AA157</f>
        <v>0</v>
      </c>
      <c r="O983" s="149">
        <f ca="1">schedule3_total!AB157</f>
        <v>0</v>
      </c>
      <c r="P983" s="354">
        <f t="shared" ca="1" si="87"/>
        <v>0</v>
      </c>
    </row>
    <row r="984" spans="1:16" ht="20.25" customHeight="1">
      <c r="A984" s="106">
        <v>984</v>
      </c>
      <c r="B984" s="169"/>
      <c r="C984" s="174">
        <v>3774</v>
      </c>
      <c r="D984" s="149" t="s">
        <v>86</v>
      </c>
      <c r="E984" s="149">
        <f ca="1">schedule3_total!J158</f>
        <v>0</v>
      </c>
      <c r="F984" s="149">
        <f ca="1">schedule3_total!K158</f>
        <v>0</v>
      </c>
      <c r="G984" s="149">
        <f ca="1">SUM(schedule3_total!L158:R158)</f>
        <v>0</v>
      </c>
      <c r="H984" s="149">
        <f ca="1">schedule3_total!S158</f>
        <v>0</v>
      </c>
      <c r="I984" s="149">
        <f ca="1">SUM(schedule3_total!U158:V158)</f>
        <v>0</v>
      </c>
      <c r="J984" s="149">
        <f ca="1">schedule3_total!W158</f>
        <v>0</v>
      </c>
      <c r="K984" s="149">
        <f ca="1">schedule3_total!X158</f>
        <v>0</v>
      </c>
      <c r="L984" s="149">
        <f ca="1">schedule3_total!Y158</f>
        <v>0</v>
      </c>
      <c r="M984" s="149">
        <f ca="1">schedule3_total!Z158</f>
        <v>0</v>
      </c>
      <c r="N984" s="149">
        <f ca="1">schedule3_total!AA158</f>
        <v>0</v>
      </c>
      <c r="O984" s="149">
        <f ca="1">schedule3_total!AB158</f>
        <v>0</v>
      </c>
      <c r="P984" s="354">
        <f t="shared" ca="1" si="87"/>
        <v>0</v>
      </c>
    </row>
    <row r="985" spans="1:16" ht="20.25" customHeight="1">
      <c r="A985" s="106">
        <v>985</v>
      </c>
      <c r="B985" s="169"/>
      <c r="C985" s="174">
        <v>3775</v>
      </c>
      <c r="D985" s="149" t="s">
        <v>87</v>
      </c>
      <c r="E985" s="149">
        <f ca="1">schedule3_total!J159</f>
        <v>0</v>
      </c>
      <c r="F985" s="149">
        <f ca="1">schedule3_total!K159</f>
        <v>0</v>
      </c>
      <c r="G985" s="149">
        <f ca="1">SUM(schedule3_total!L159:R159)</f>
        <v>0</v>
      </c>
      <c r="H985" s="149">
        <f ca="1">schedule3_total!S159</f>
        <v>0</v>
      </c>
      <c r="I985" s="149">
        <f ca="1">SUM(schedule3_total!U159:V159)</f>
        <v>0</v>
      </c>
      <c r="J985" s="149">
        <f ca="1">schedule3_total!W159</f>
        <v>0</v>
      </c>
      <c r="K985" s="149">
        <f ca="1">schedule3_total!X159</f>
        <v>0</v>
      </c>
      <c r="L985" s="149">
        <f ca="1">schedule3_total!Y159</f>
        <v>0</v>
      </c>
      <c r="M985" s="149">
        <f ca="1">schedule3_total!Z159</f>
        <v>0</v>
      </c>
      <c r="N985" s="149">
        <f ca="1">schedule3_total!AA159</f>
        <v>0</v>
      </c>
      <c r="O985" s="149">
        <f ca="1">schedule3_total!AB159</f>
        <v>0</v>
      </c>
      <c r="P985" s="354">
        <f t="shared" ca="1" si="87"/>
        <v>0</v>
      </c>
    </row>
    <row r="986" spans="1:16" ht="20.25" customHeight="1">
      <c r="A986" s="106">
        <v>986</v>
      </c>
      <c r="B986" s="169"/>
      <c r="C986" s="174">
        <v>3776</v>
      </c>
      <c r="D986" s="149" t="s">
        <v>88</v>
      </c>
      <c r="E986" s="149">
        <f ca="1">schedule3_total!J160</f>
        <v>0</v>
      </c>
      <c r="F986" s="149">
        <f ca="1">schedule3_total!K160</f>
        <v>0</v>
      </c>
      <c r="G986" s="149">
        <f ca="1">SUM(schedule3_total!L160:R160)</f>
        <v>0</v>
      </c>
      <c r="H986" s="149">
        <f ca="1">schedule3_total!S160</f>
        <v>0</v>
      </c>
      <c r="I986" s="149">
        <f ca="1">SUM(schedule3_total!U160:V160)</f>
        <v>0</v>
      </c>
      <c r="J986" s="149">
        <f ca="1">schedule3_total!W160</f>
        <v>0</v>
      </c>
      <c r="K986" s="149">
        <f ca="1">schedule3_total!X160</f>
        <v>0</v>
      </c>
      <c r="L986" s="149">
        <f ca="1">schedule3_total!Y160</f>
        <v>0</v>
      </c>
      <c r="M986" s="149">
        <f ca="1">schedule3_total!Z160</f>
        <v>0</v>
      </c>
      <c r="N986" s="149">
        <f ca="1">schedule3_total!AA160</f>
        <v>0</v>
      </c>
      <c r="O986" s="149">
        <f ca="1">schedule3_total!AB160</f>
        <v>0</v>
      </c>
      <c r="P986" s="354">
        <f t="shared" ca="1" si="87"/>
        <v>0</v>
      </c>
    </row>
    <row r="987" spans="1:16" ht="20.25" customHeight="1">
      <c r="A987" s="106">
        <v>987</v>
      </c>
      <c r="B987" s="169"/>
      <c r="C987" s="174">
        <v>3779</v>
      </c>
      <c r="D987" s="175" t="s">
        <v>89</v>
      </c>
      <c r="E987" s="149">
        <f ca="1">schedule3_total!J161</f>
        <v>0</v>
      </c>
      <c r="F987" s="149">
        <f ca="1">schedule3_total!K161</f>
        <v>0</v>
      </c>
      <c r="G987" s="149">
        <f ca="1">SUM(schedule3_total!L161:R161)</f>
        <v>0</v>
      </c>
      <c r="H987" s="149">
        <f ca="1">schedule3_total!S161</f>
        <v>0</v>
      </c>
      <c r="I987" s="149">
        <f ca="1">SUM(schedule3_total!U161:V161)</f>
        <v>0</v>
      </c>
      <c r="J987" s="149">
        <f ca="1">schedule3_total!W161</f>
        <v>0</v>
      </c>
      <c r="K987" s="149">
        <f ca="1">schedule3_total!X161</f>
        <v>0</v>
      </c>
      <c r="L987" s="149">
        <f ca="1">schedule3_total!Y161</f>
        <v>0</v>
      </c>
      <c r="M987" s="149">
        <f ca="1">schedule3_total!Z161</f>
        <v>0</v>
      </c>
      <c r="N987" s="149">
        <f ca="1">schedule3_total!AA161</f>
        <v>0</v>
      </c>
      <c r="O987" s="149">
        <f ca="1">schedule3_total!AB161</f>
        <v>0</v>
      </c>
      <c r="P987" s="354">
        <f t="shared" ca="1" si="87"/>
        <v>0</v>
      </c>
    </row>
    <row r="988" spans="1:16" ht="20.25" customHeight="1">
      <c r="A988" s="106"/>
      <c r="B988" s="4"/>
      <c r="C988" s="181"/>
      <c r="D988" s="182" t="s">
        <v>128</v>
      </c>
      <c r="E988" s="152"/>
      <c r="F988" s="152"/>
      <c r="G988" s="152"/>
      <c r="H988" s="152"/>
      <c r="I988" s="152"/>
      <c r="J988" s="152"/>
      <c r="K988" s="152"/>
      <c r="L988" s="152"/>
      <c r="M988" s="152"/>
      <c r="N988" s="152"/>
      <c r="O988" s="152"/>
      <c r="P988" s="354">
        <f t="shared" si="87"/>
        <v>0</v>
      </c>
    </row>
    <row r="989" spans="1:16" ht="20.25" customHeight="1">
      <c r="A989" s="106">
        <v>989</v>
      </c>
      <c r="B989" s="169"/>
      <c r="C989" s="174">
        <v>3781</v>
      </c>
      <c r="D989" s="149" t="s">
        <v>91</v>
      </c>
      <c r="E989" s="149">
        <f ca="1">schedule3_total!J163</f>
        <v>0</v>
      </c>
      <c r="F989" s="149">
        <f ca="1">schedule3_total!K163</f>
        <v>0</v>
      </c>
      <c r="G989" s="149">
        <f ca="1">SUM(schedule3_total!L163:R163)</f>
        <v>0</v>
      </c>
      <c r="H989" s="149">
        <f ca="1">schedule3_total!S163</f>
        <v>0</v>
      </c>
      <c r="I989" s="149">
        <f ca="1">SUM(schedule3_total!U163:V163)</f>
        <v>0</v>
      </c>
      <c r="J989" s="149">
        <f ca="1">schedule3_total!W163</f>
        <v>0</v>
      </c>
      <c r="K989" s="149">
        <f ca="1">schedule3_total!X163</f>
        <v>0</v>
      </c>
      <c r="L989" s="149">
        <f ca="1">schedule3_total!Y163</f>
        <v>0</v>
      </c>
      <c r="M989" s="149">
        <f ca="1">schedule3_total!Z163</f>
        <v>0</v>
      </c>
      <c r="N989" s="149">
        <f ca="1">schedule3_total!AA163</f>
        <v>0</v>
      </c>
      <c r="O989" s="149">
        <f ca="1">schedule3_total!AB163</f>
        <v>348660</v>
      </c>
      <c r="P989" s="354">
        <f t="shared" ca="1" si="87"/>
        <v>0</v>
      </c>
    </row>
    <row r="990" spans="1:16" ht="20.25" customHeight="1">
      <c r="A990" s="106">
        <v>990</v>
      </c>
      <c r="B990" s="4"/>
      <c r="C990" s="174">
        <v>3782</v>
      </c>
      <c r="D990" s="149" t="s">
        <v>84</v>
      </c>
      <c r="E990" s="149">
        <f ca="1">schedule3_total!J164</f>
        <v>0</v>
      </c>
      <c r="F990" s="149">
        <f ca="1">schedule3_total!K164</f>
        <v>0</v>
      </c>
      <c r="G990" s="149">
        <f ca="1">SUM(schedule3_total!L164:R164)</f>
        <v>0</v>
      </c>
      <c r="H990" s="149">
        <f ca="1">schedule3_total!S164</f>
        <v>0</v>
      </c>
      <c r="I990" s="149">
        <f ca="1">SUM(schedule3_total!U164:V164)</f>
        <v>0</v>
      </c>
      <c r="J990" s="149">
        <f ca="1">schedule3_total!W164</f>
        <v>0</v>
      </c>
      <c r="K990" s="149">
        <f ca="1">schedule3_total!X164</f>
        <v>0</v>
      </c>
      <c r="L990" s="149">
        <f ca="1">schedule3_total!Y164</f>
        <v>0</v>
      </c>
      <c r="M990" s="149">
        <f ca="1">schedule3_total!Z164</f>
        <v>0</v>
      </c>
      <c r="N990" s="149">
        <f ca="1">schedule3_total!AA164</f>
        <v>0</v>
      </c>
      <c r="O990" s="149">
        <f ca="1">schedule3_total!AB164</f>
        <v>0</v>
      </c>
      <c r="P990" s="354">
        <f t="shared" ca="1" si="87"/>
        <v>0</v>
      </c>
    </row>
    <row r="991" spans="1:16" ht="20.25" customHeight="1">
      <c r="A991" s="106">
        <v>991</v>
      </c>
      <c r="C991" s="174">
        <v>3783</v>
      </c>
      <c r="D991" s="149" t="s">
        <v>85</v>
      </c>
      <c r="E991" s="149">
        <f ca="1">schedule3_total!J165</f>
        <v>0</v>
      </c>
      <c r="F991" s="149">
        <f ca="1">schedule3_total!K165</f>
        <v>0</v>
      </c>
      <c r="G991" s="149">
        <f ca="1">SUM(schedule3_total!L165:R165)</f>
        <v>0</v>
      </c>
      <c r="H991" s="149">
        <f ca="1">schedule3_total!S165</f>
        <v>0</v>
      </c>
      <c r="I991" s="149">
        <f ca="1">SUM(schedule3_total!U165:V165)</f>
        <v>0</v>
      </c>
      <c r="J991" s="149">
        <f ca="1">schedule3_total!W165</f>
        <v>0</v>
      </c>
      <c r="K991" s="149">
        <f ca="1">schedule3_total!X165</f>
        <v>0</v>
      </c>
      <c r="L991" s="149">
        <f ca="1">schedule3_total!Y165</f>
        <v>0</v>
      </c>
      <c r="M991" s="149">
        <f ca="1">schedule3_total!Z165</f>
        <v>0</v>
      </c>
      <c r="N991" s="149">
        <f ca="1">schedule3_total!AA165</f>
        <v>0</v>
      </c>
      <c r="O991" s="149">
        <f ca="1">schedule3_total!AB165</f>
        <v>0</v>
      </c>
      <c r="P991" s="354">
        <f t="shared" ca="1" si="87"/>
        <v>0</v>
      </c>
    </row>
    <row r="992" spans="1:16" ht="20.25" customHeight="1">
      <c r="A992" s="106">
        <v>992</v>
      </c>
      <c r="B992" s="4"/>
      <c r="C992" s="174">
        <v>3784</v>
      </c>
      <c r="D992" s="149" t="s">
        <v>86</v>
      </c>
      <c r="E992" s="149">
        <f ca="1">schedule3_total!J166</f>
        <v>0</v>
      </c>
      <c r="F992" s="149">
        <f ca="1">schedule3_total!K166</f>
        <v>0</v>
      </c>
      <c r="G992" s="149">
        <f ca="1">SUM(schedule3_total!L166:R166)</f>
        <v>0</v>
      </c>
      <c r="H992" s="149">
        <f ca="1">schedule3_total!S166</f>
        <v>0</v>
      </c>
      <c r="I992" s="149">
        <f ca="1">SUM(schedule3_total!U166:V166)</f>
        <v>0</v>
      </c>
      <c r="J992" s="149">
        <f ca="1">schedule3_total!W166</f>
        <v>0</v>
      </c>
      <c r="K992" s="149">
        <f ca="1">schedule3_total!X166</f>
        <v>0</v>
      </c>
      <c r="L992" s="149">
        <f ca="1">schedule3_total!Y166</f>
        <v>0</v>
      </c>
      <c r="M992" s="149">
        <f ca="1">schedule3_total!Z166</f>
        <v>0</v>
      </c>
      <c r="N992" s="149">
        <f ca="1">schedule3_total!AA166</f>
        <v>0</v>
      </c>
      <c r="O992" s="149">
        <f ca="1">schedule3_total!AB166</f>
        <v>0</v>
      </c>
      <c r="P992" s="354">
        <f t="shared" ca="1" si="87"/>
        <v>0</v>
      </c>
    </row>
    <row r="993" spans="1:16" ht="20.25" customHeight="1">
      <c r="A993" s="106">
        <v>993</v>
      </c>
      <c r="B993" s="4"/>
      <c r="C993" s="174">
        <v>3785</v>
      </c>
      <c r="D993" s="149" t="s">
        <v>87</v>
      </c>
      <c r="E993" s="149">
        <f ca="1">schedule3_total!J167</f>
        <v>0</v>
      </c>
      <c r="F993" s="149">
        <f ca="1">schedule3_total!K167</f>
        <v>0</v>
      </c>
      <c r="G993" s="149">
        <f ca="1">SUM(schedule3_total!L167:R167)</f>
        <v>0</v>
      </c>
      <c r="H993" s="149">
        <f ca="1">schedule3_total!S167</f>
        <v>0</v>
      </c>
      <c r="I993" s="149">
        <f ca="1">SUM(schedule3_total!U167:V167)</f>
        <v>0</v>
      </c>
      <c r="J993" s="149">
        <f ca="1">schedule3_total!W167</f>
        <v>0</v>
      </c>
      <c r="K993" s="149">
        <f ca="1">schedule3_total!X167</f>
        <v>0</v>
      </c>
      <c r="L993" s="149">
        <f ca="1">schedule3_total!Y167</f>
        <v>0</v>
      </c>
      <c r="M993" s="149">
        <f ca="1">schedule3_total!Z167</f>
        <v>0</v>
      </c>
      <c r="N993" s="149">
        <f ca="1">schedule3_total!AA167</f>
        <v>0</v>
      </c>
      <c r="O993" s="149">
        <f ca="1">schedule3_total!AB167</f>
        <v>6663</v>
      </c>
      <c r="P993" s="354">
        <f t="shared" ca="1" si="87"/>
        <v>0</v>
      </c>
    </row>
    <row r="994" spans="1:16" ht="20.25" customHeight="1">
      <c r="A994" s="106">
        <v>994</v>
      </c>
      <c r="B994" s="4"/>
      <c r="C994" s="174">
        <v>3786</v>
      </c>
      <c r="D994" s="149" t="s">
        <v>88</v>
      </c>
      <c r="E994" s="149">
        <f ca="1">schedule3_total!J168</f>
        <v>0</v>
      </c>
      <c r="F994" s="149">
        <f ca="1">schedule3_total!K168</f>
        <v>0</v>
      </c>
      <c r="G994" s="149">
        <f ca="1">SUM(schedule3_total!L168:R168)</f>
        <v>0</v>
      </c>
      <c r="H994" s="149">
        <f ca="1">schedule3_total!S168</f>
        <v>0</v>
      </c>
      <c r="I994" s="149">
        <f ca="1">SUM(schedule3_total!U168:V168)</f>
        <v>0</v>
      </c>
      <c r="J994" s="149">
        <f ca="1">schedule3_total!W168</f>
        <v>0</v>
      </c>
      <c r="K994" s="149">
        <f ca="1">schedule3_total!X168</f>
        <v>0</v>
      </c>
      <c r="L994" s="149">
        <f ca="1">schedule3_total!Y168</f>
        <v>0</v>
      </c>
      <c r="M994" s="149">
        <f ca="1">schedule3_total!Z168</f>
        <v>0</v>
      </c>
      <c r="N994" s="149">
        <f ca="1">schedule3_total!AA168</f>
        <v>0</v>
      </c>
      <c r="O994" s="149">
        <f ca="1">schedule3_total!AB168</f>
        <v>0</v>
      </c>
      <c r="P994" s="354">
        <f t="shared" ca="1" si="87"/>
        <v>0</v>
      </c>
    </row>
    <row r="995" spans="1:16" ht="20.25" customHeight="1" thickBot="1">
      <c r="A995" s="106">
        <v>995</v>
      </c>
      <c r="B995" s="4"/>
      <c r="C995" s="178">
        <v>3789</v>
      </c>
      <c r="D995" s="179" t="s">
        <v>89</v>
      </c>
      <c r="E995" s="151">
        <f ca="1">schedule3_total!J169</f>
        <v>0</v>
      </c>
      <c r="F995" s="151">
        <f ca="1">schedule3_total!K169</f>
        <v>0</v>
      </c>
      <c r="G995" s="151">
        <f ca="1">SUM(schedule3_total!L169:R169)</f>
        <v>0</v>
      </c>
      <c r="H995" s="151">
        <f ca="1">schedule3_total!S169</f>
        <v>0</v>
      </c>
      <c r="I995" s="151">
        <f ca="1">SUM(schedule3_total!U169:V169)</f>
        <v>0</v>
      </c>
      <c r="J995" s="151">
        <f ca="1">schedule3_total!W169</f>
        <v>0</v>
      </c>
      <c r="K995" s="151">
        <f ca="1">schedule3_total!X169</f>
        <v>0</v>
      </c>
      <c r="L995" s="151">
        <f ca="1">schedule3_total!Y169</f>
        <v>0</v>
      </c>
      <c r="M995" s="151">
        <f ca="1">schedule3_total!Z169</f>
        <v>0</v>
      </c>
      <c r="N995" s="151">
        <f ca="1">schedule3_total!AA169</f>
        <v>0</v>
      </c>
      <c r="O995" s="151">
        <f ca="1">schedule3_total!AB169</f>
        <v>355323</v>
      </c>
      <c r="P995" s="354">
        <f t="shared" ca="1" si="87"/>
        <v>0</v>
      </c>
    </row>
    <row r="996" spans="1:16" ht="20.25" customHeight="1" thickTop="1">
      <c r="A996" s="106">
        <v>996</v>
      </c>
      <c r="B996" s="4"/>
      <c r="C996" s="185">
        <v>3799</v>
      </c>
      <c r="D996" s="186" t="s">
        <v>294</v>
      </c>
      <c r="E996" s="186">
        <f ca="1">schedule3_total!J170</f>
        <v>0</v>
      </c>
      <c r="F996" s="186">
        <f ca="1">schedule3_total!K170</f>
        <v>0</v>
      </c>
      <c r="G996" s="186">
        <f ca="1">SUM(schedule3_total!L170:R170)</f>
        <v>0</v>
      </c>
      <c r="H996" s="186">
        <f ca="1">schedule3_total!S170</f>
        <v>0</v>
      </c>
      <c r="I996" s="186">
        <f ca="1">SUM(schedule3_total!U170:V170)</f>
        <v>0</v>
      </c>
      <c r="J996" s="186">
        <f ca="1">schedule3_total!W170</f>
        <v>0</v>
      </c>
      <c r="K996" s="186">
        <f ca="1">schedule3_total!X170</f>
        <v>0</v>
      </c>
      <c r="L996" s="186">
        <f ca="1">schedule3_total!Y170</f>
        <v>0</v>
      </c>
      <c r="M996" s="186">
        <f ca="1">schedule3_total!Z170</f>
        <v>0</v>
      </c>
      <c r="N996" s="186">
        <f ca="1">schedule3_total!AA170</f>
        <v>0</v>
      </c>
      <c r="O996" s="186">
        <f ca="1">schedule3_total!AB170</f>
        <v>13665265</v>
      </c>
      <c r="P996" s="354">
        <f t="shared" ca="1" si="87"/>
        <v>0</v>
      </c>
    </row>
    <row r="997" spans="1:16" ht="20.25" customHeight="1">
      <c r="A997" s="106"/>
      <c r="B997" s="4"/>
      <c r="C997" s="4"/>
      <c r="D997" s="322"/>
      <c r="E997" s="4"/>
      <c r="F997" s="4"/>
      <c r="G997" s="4"/>
      <c r="H997" s="4"/>
      <c r="I997" s="4"/>
      <c r="J997" s="4"/>
      <c r="K997" s="4"/>
      <c r="L997" s="4"/>
      <c r="M997" s="4"/>
      <c r="N997" s="4"/>
      <c r="O997" s="4"/>
      <c r="P997" s="4"/>
    </row>
    <row r="998" spans="1:16" ht="20.25" customHeight="1">
      <c r="A998" s="106"/>
      <c r="B998" s="4"/>
      <c r="C998" s="4"/>
      <c r="E998" s="4"/>
      <c r="F998" s="4"/>
      <c r="G998" s="4"/>
      <c r="H998" s="4"/>
      <c r="I998" s="13"/>
      <c r="J998" s="4"/>
      <c r="K998" s="4"/>
      <c r="L998" s="4"/>
      <c r="M998" s="4"/>
      <c r="N998" s="4"/>
      <c r="O998" s="4"/>
      <c r="P998" s="4"/>
    </row>
    <row r="999" spans="1:16" ht="20.25" customHeight="1">
      <c r="A999" s="106"/>
      <c r="B999" s="358"/>
      <c r="C999" s="4"/>
      <c r="D999" s="107" t="s">
        <v>304</v>
      </c>
      <c r="E999" s="359">
        <v>1</v>
      </c>
      <c r="F999" s="79" t="s">
        <v>20</v>
      </c>
      <c r="G999" s="79" t="s">
        <v>305</v>
      </c>
      <c r="H999" s="79">
        <v>4</v>
      </c>
      <c r="I999" s="79">
        <v>5</v>
      </c>
      <c r="J999" s="79">
        <v>6</v>
      </c>
      <c r="K999" s="79">
        <v>7</v>
      </c>
      <c r="L999" s="360">
        <v>8</v>
      </c>
      <c r="M999" s="360">
        <v>9</v>
      </c>
      <c r="O999" s="4"/>
      <c r="P999" s="4"/>
    </row>
    <row r="1000" spans="1:16" ht="20.25" customHeight="1">
      <c r="A1000" s="106"/>
      <c r="B1000" s="358"/>
      <c r="C1000" s="4"/>
      <c r="D1000" s="107" t="s">
        <v>306</v>
      </c>
      <c r="E1000" s="361" t="s">
        <v>307</v>
      </c>
      <c r="F1000" s="79" t="s">
        <v>308</v>
      </c>
      <c r="G1000" s="79" t="s">
        <v>308</v>
      </c>
      <c r="H1000" s="79" t="s">
        <v>308</v>
      </c>
      <c r="I1000" s="79" t="s">
        <v>308</v>
      </c>
      <c r="J1000" s="362"/>
      <c r="K1000" s="79" t="s">
        <v>308</v>
      </c>
      <c r="L1000" s="360"/>
      <c r="M1000" s="360"/>
      <c r="O1000" s="4"/>
      <c r="P1000" s="4"/>
    </row>
    <row r="1001" spans="1:16" ht="20.25" customHeight="1">
      <c r="A1001" s="106"/>
      <c r="B1001" s="358"/>
      <c r="C1001" s="4"/>
      <c r="D1001" s="107" t="s">
        <v>309</v>
      </c>
      <c r="E1001" s="165" t="s">
        <v>310</v>
      </c>
      <c r="F1001" s="165" t="s">
        <v>311</v>
      </c>
      <c r="G1001" s="165" t="s">
        <v>312</v>
      </c>
      <c r="H1001" s="165" t="s">
        <v>313</v>
      </c>
      <c r="I1001" s="165" t="s">
        <v>313</v>
      </c>
      <c r="J1001" s="165" t="s">
        <v>308</v>
      </c>
      <c r="K1001" s="168" t="s">
        <v>312</v>
      </c>
      <c r="L1001" s="168"/>
      <c r="M1001" s="168"/>
      <c r="O1001" s="4"/>
      <c r="P1001" s="4"/>
    </row>
    <row r="1002" spans="1:16" ht="20.25" customHeight="1">
      <c r="A1002" s="106"/>
      <c r="B1002" s="358"/>
      <c r="C1002" s="4"/>
      <c r="E1002" s="165" t="s">
        <v>314</v>
      </c>
      <c r="F1002" s="165" t="s">
        <v>315</v>
      </c>
      <c r="G1002" s="165" t="s">
        <v>316</v>
      </c>
      <c r="H1002" s="165" t="s">
        <v>316</v>
      </c>
      <c r="I1002" s="165" t="s">
        <v>317</v>
      </c>
      <c r="J1002" s="165" t="s">
        <v>318</v>
      </c>
      <c r="K1002" s="168" t="s">
        <v>317</v>
      </c>
      <c r="L1002" s="168" t="s">
        <v>319</v>
      </c>
      <c r="M1002" s="363"/>
      <c r="O1002" s="4"/>
      <c r="P1002" s="4"/>
    </row>
    <row r="1003" spans="1:16" ht="20.25" customHeight="1">
      <c r="A1003" s="106"/>
      <c r="B1003" s="358"/>
      <c r="C1003" s="4"/>
      <c r="D1003" s="13" t="s">
        <v>320</v>
      </c>
      <c r="E1003" s="364" t="s">
        <v>321</v>
      </c>
      <c r="F1003" s="364" t="s">
        <v>322</v>
      </c>
      <c r="G1003" s="165" t="s">
        <v>323</v>
      </c>
      <c r="H1003" s="165" t="s">
        <v>323</v>
      </c>
      <c r="I1003" s="165" t="s">
        <v>224</v>
      </c>
      <c r="J1003" s="165" t="s">
        <v>324</v>
      </c>
      <c r="K1003" s="168" t="s">
        <v>325</v>
      </c>
      <c r="L1003" s="168" t="s">
        <v>326</v>
      </c>
      <c r="M1003" s="168"/>
      <c r="O1003" s="4"/>
      <c r="P1003" s="4"/>
    </row>
    <row r="1004" spans="1:16" ht="20.25" customHeight="1">
      <c r="A1004" s="106"/>
      <c r="B1004" s="358"/>
      <c r="C1004" s="4"/>
      <c r="D1004" s="13" t="s">
        <v>327</v>
      </c>
      <c r="E1004" s="364" t="s">
        <v>328</v>
      </c>
      <c r="F1004" s="364" t="s">
        <v>329</v>
      </c>
      <c r="G1004" s="364" t="s">
        <v>330</v>
      </c>
      <c r="H1004" s="364" t="s">
        <v>331</v>
      </c>
      <c r="I1004" s="365" t="s">
        <v>332</v>
      </c>
      <c r="J1004" s="365" t="s">
        <v>333</v>
      </c>
      <c r="K1004" s="366" t="s">
        <v>334</v>
      </c>
      <c r="L1004" s="367" t="s">
        <v>335</v>
      </c>
      <c r="M1004" s="367" t="s">
        <v>36</v>
      </c>
      <c r="O1004" s="4"/>
      <c r="P1004" s="4"/>
    </row>
    <row r="1005" spans="1:16" ht="20.25" customHeight="1">
      <c r="A1005" s="106"/>
      <c r="B1005" s="4"/>
      <c r="C1005" s="4"/>
      <c r="D1005" s="107" t="s">
        <v>336</v>
      </c>
      <c r="E1005" s="99"/>
      <c r="F1005" s="99"/>
      <c r="G1005" s="99"/>
      <c r="H1005" s="99"/>
      <c r="I1005" s="4"/>
      <c r="J1005" s="4"/>
      <c r="K1005" s="4"/>
      <c r="L1005" s="4"/>
      <c r="M1005" s="4"/>
      <c r="O1005" s="4"/>
      <c r="P1005" s="4"/>
    </row>
    <row r="1006" spans="1:16" ht="20.25" customHeight="1">
      <c r="A1006" s="106">
        <v>1006</v>
      </c>
      <c r="B1006" s="4"/>
      <c r="C1006" s="6" t="s">
        <v>337</v>
      </c>
      <c r="D1006" s="6" t="s">
        <v>338</v>
      </c>
      <c r="E1006" s="7"/>
      <c r="F1006" s="7">
        <v>255346</v>
      </c>
      <c r="G1006" s="7"/>
      <c r="H1006" s="7"/>
      <c r="I1006" s="8"/>
      <c r="J1006" s="8"/>
      <c r="K1006" s="8"/>
      <c r="L1006" s="8"/>
      <c r="M1006" s="59">
        <f t="shared" ref="M1006:M1013" si="88">ROUND(SUM(E1006:L1006), 0)</f>
        <v>255346</v>
      </c>
      <c r="O1006" s="4"/>
      <c r="P1006" s="4"/>
    </row>
    <row r="1007" spans="1:16" ht="20.25" customHeight="1">
      <c r="A1007" s="106">
        <v>1007</v>
      </c>
      <c r="B1007" s="4"/>
      <c r="C1007" s="368">
        <v>3815</v>
      </c>
      <c r="D1007" s="6" t="s">
        <v>339</v>
      </c>
      <c r="E1007" s="7"/>
      <c r="F1007" s="7"/>
      <c r="G1007" s="7"/>
      <c r="H1007" s="7"/>
      <c r="I1007" s="8"/>
      <c r="J1007" s="8"/>
      <c r="K1007" s="8"/>
      <c r="L1007" s="8"/>
      <c r="M1007" s="59">
        <f t="shared" si="88"/>
        <v>0</v>
      </c>
      <c r="O1007" s="4"/>
      <c r="P1007" s="4"/>
    </row>
    <row r="1008" spans="1:16" ht="20.25" customHeight="1">
      <c r="A1008" s="106">
        <v>1008</v>
      </c>
      <c r="B1008" s="4"/>
      <c r="C1008" s="6" t="s">
        <v>340</v>
      </c>
      <c r="D1008" s="6" t="s">
        <v>341</v>
      </c>
      <c r="E1008" s="7"/>
      <c r="F1008" s="7">
        <v>3604504</v>
      </c>
      <c r="G1008" s="7"/>
      <c r="H1008" s="7"/>
      <c r="I1008" s="8"/>
      <c r="J1008" s="8"/>
      <c r="K1008" s="8"/>
      <c r="L1008" s="8">
        <v>104865</v>
      </c>
      <c r="M1008" s="59">
        <f t="shared" si="88"/>
        <v>3709369</v>
      </c>
      <c r="O1008" s="4"/>
      <c r="P1008" s="4"/>
    </row>
    <row r="1009" spans="1:15" ht="20.25" customHeight="1">
      <c r="A1009" s="106">
        <v>1009</v>
      </c>
      <c r="B1009" s="4"/>
      <c r="C1009" s="6" t="s">
        <v>342</v>
      </c>
      <c r="D1009" s="6" t="s">
        <v>343</v>
      </c>
      <c r="E1009" s="7"/>
      <c r="F1009" s="7">
        <v>8192</v>
      </c>
      <c r="G1009" s="7"/>
      <c r="H1009" s="7"/>
      <c r="I1009" s="8"/>
      <c r="J1009" s="8"/>
      <c r="K1009" s="8"/>
      <c r="L1009" s="8"/>
      <c r="M1009" s="59">
        <f t="shared" si="88"/>
        <v>8192</v>
      </c>
      <c r="O1009" s="4"/>
    </row>
    <row r="1010" spans="1:15" ht="20.25" customHeight="1">
      <c r="A1010" s="106">
        <v>1010</v>
      </c>
      <c r="B1010" s="4"/>
      <c r="C1010" s="6" t="s">
        <v>344</v>
      </c>
      <c r="D1010" s="6" t="s">
        <v>345</v>
      </c>
      <c r="E1010" s="7"/>
      <c r="F1010" s="7"/>
      <c r="G1010" s="7"/>
      <c r="H1010" s="7"/>
      <c r="I1010" s="8"/>
      <c r="J1010" s="8"/>
      <c r="K1010" s="8"/>
      <c r="L1010" s="8">
        <v>85421</v>
      </c>
      <c r="M1010" s="59">
        <f t="shared" si="88"/>
        <v>85421</v>
      </c>
      <c r="O1010" s="4"/>
    </row>
    <row r="1011" spans="1:15" ht="20.25" customHeight="1">
      <c r="A1011" s="106">
        <v>1011</v>
      </c>
      <c r="B1011" s="4"/>
      <c r="C1011" s="6" t="s">
        <v>346</v>
      </c>
      <c r="D1011" s="6" t="s">
        <v>347</v>
      </c>
      <c r="E1011" s="7"/>
      <c r="F1011" s="7"/>
      <c r="G1011" s="7"/>
      <c r="H1011" s="7"/>
      <c r="I1011" s="8"/>
      <c r="J1011" s="8"/>
      <c r="K1011" s="8"/>
      <c r="L1011" s="8">
        <v>94365</v>
      </c>
      <c r="M1011" s="59">
        <f t="shared" si="88"/>
        <v>94365</v>
      </c>
      <c r="O1011" s="4"/>
    </row>
    <row r="1012" spans="1:15" ht="20.25" customHeight="1">
      <c r="A1012" s="106">
        <v>1012</v>
      </c>
      <c r="B1012" s="4"/>
      <c r="C1012" s="6" t="s">
        <v>348</v>
      </c>
      <c r="D1012" s="284" t="s">
        <v>349</v>
      </c>
      <c r="E1012" s="6">
        <f>ROUND(SUM(E1006:E1011),0)</f>
        <v>0</v>
      </c>
      <c r="F1012" s="6">
        <f t="shared" ref="F1012:L1012" si="89">ROUND(SUM(F1006:F1011),0)</f>
        <v>3868042</v>
      </c>
      <c r="G1012" s="6">
        <f t="shared" si="89"/>
        <v>0</v>
      </c>
      <c r="H1012" s="6">
        <f t="shared" si="89"/>
        <v>0</v>
      </c>
      <c r="I1012" s="6">
        <f t="shared" si="89"/>
        <v>0</v>
      </c>
      <c r="J1012" s="6">
        <f t="shared" si="89"/>
        <v>0</v>
      </c>
      <c r="K1012" s="6">
        <f t="shared" si="89"/>
        <v>0</v>
      </c>
      <c r="L1012" s="6">
        <f t="shared" si="89"/>
        <v>284651</v>
      </c>
      <c r="M1012" s="59">
        <f t="shared" si="88"/>
        <v>4152693</v>
      </c>
      <c r="O1012" s="4"/>
    </row>
    <row r="1013" spans="1:15" ht="20.25" customHeight="1">
      <c r="A1013" s="106">
        <v>1013</v>
      </c>
      <c r="B1013" s="4"/>
      <c r="C1013" s="6" t="s">
        <v>350</v>
      </c>
      <c r="D1013" s="6" t="s">
        <v>351</v>
      </c>
      <c r="E1013" s="7"/>
      <c r="F1013" s="7"/>
      <c r="G1013" s="7"/>
      <c r="H1013" s="7"/>
      <c r="I1013" s="8"/>
      <c r="J1013" s="8"/>
      <c r="K1013" s="8"/>
      <c r="L1013" s="8"/>
      <c r="M1013" s="59">
        <f t="shared" si="88"/>
        <v>0</v>
      </c>
      <c r="O1013" s="4"/>
    </row>
    <row r="1014" spans="1:15" ht="20.25" customHeight="1">
      <c r="A1014" s="106"/>
      <c r="B1014" s="4"/>
      <c r="C1014" s="99"/>
      <c r="D1014" s="369" t="s">
        <v>173</v>
      </c>
      <c r="E1014" s="99"/>
      <c r="F1014" s="99"/>
      <c r="G1014" s="99"/>
      <c r="H1014" s="99"/>
      <c r="I1014" s="4"/>
      <c r="J1014" s="4"/>
      <c r="K1014" s="4"/>
      <c r="L1014" s="4"/>
      <c r="M1014" s="4"/>
      <c r="O1014" s="4"/>
    </row>
    <row r="1015" spans="1:15" ht="20.25" customHeight="1">
      <c r="A1015" s="106">
        <v>1015</v>
      </c>
      <c r="B1015" s="4"/>
      <c r="C1015" s="6" t="s">
        <v>352</v>
      </c>
      <c r="D1015" s="6" t="s">
        <v>174</v>
      </c>
      <c r="E1015" s="7"/>
      <c r="F1015" s="7"/>
      <c r="G1015" s="7"/>
      <c r="H1015" s="7"/>
      <c r="I1015" s="8"/>
      <c r="J1015" s="8"/>
      <c r="K1015" s="117">
        <v>0</v>
      </c>
      <c r="L1015" s="8"/>
      <c r="M1015" s="59">
        <f t="shared" ref="M1015:M1024" si="90">ROUND(SUM(E1015:L1015), 0)</f>
        <v>0</v>
      </c>
      <c r="O1015" s="4"/>
    </row>
    <row r="1016" spans="1:15" ht="20.25" customHeight="1">
      <c r="A1016" s="106">
        <v>1016</v>
      </c>
      <c r="B1016" s="4"/>
      <c r="C1016" s="368">
        <v>3885</v>
      </c>
      <c r="D1016" s="6" t="s">
        <v>353</v>
      </c>
      <c r="E1016" s="94">
        <v>0</v>
      </c>
      <c r="F1016" s="94">
        <v>69187.997733809505</v>
      </c>
      <c r="G1016" s="94">
        <v>0</v>
      </c>
      <c r="H1016" s="94">
        <v>0</v>
      </c>
      <c r="I1016" s="479">
        <v>0</v>
      </c>
      <c r="J1016" s="479">
        <v>0</v>
      </c>
      <c r="K1016" s="479">
        <v>0</v>
      </c>
      <c r="L1016" s="8"/>
      <c r="M1016" s="59">
        <f t="shared" si="90"/>
        <v>69188</v>
      </c>
      <c r="O1016" s="4"/>
    </row>
    <row r="1017" spans="1:15" ht="20.25" customHeight="1">
      <c r="A1017" s="106">
        <v>1017</v>
      </c>
      <c r="B1017" s="4"/>
      <c r="C1017" s="368">
        <v>3887</v>
      </c>
      <c r="D1017" s="6" t="s">
        <v>354</v>
      </c>
      <c r="E1017" s="7"/>
      <c r="F1017" s="94">
        <v>30589.090000000004</v>
      </c>
      <c r="G1017" s="7"/>
      <c r="H1017" s="7"/>
      <c r="I1017" s="8"/>
      <c r="J1017" s="117"/>
      <c r="K1017" s="8"/>
      <c r="L1017" s="8"/>
      <c r="M1017" s="59">
        <f t="shared" si="90"/>
        <v>30589</v>
      </c>
      <c r="O1017" s="4"/>
    </row>
    <row r="1018" spans="1:15" ht="20.25" customHeight="1">
      <c r="A1018" s="106">
        <v>1018</v>
      </c>
      <c r="B1018" s="4"/>
      <c r="C1018" s="368">
        <v>3888</v>
      </c>
      <c r="D1018" s="6" t="s">
        <v>355</v>
      </c>
      <c r="E1018" s="7"/>
      <c r="F1018" s="7"/>
      <c r="G1018" s="7"/>
      <c r="H1018" s="7"/>
      <c r="I1018" s="8"/>
      <c r="J1018" s="8"/>
      <c r="K1018" s="8"/>
      <c r="L1018" s="8"/>
      <c r="M1018" s="59">
        <f t="shared" si="90"/>
        <v>0</v>
      </c>
      <c r="O1018" s="4"/>
    </row>
    <row r="1019" spans="1:15" ht="20.25" customHeight="1">
      <c r="A1019" s="106">
        <v>1019</v>
      </c>
      <c r="B1019" s="4"/>
      <c r="C1019" s="6" t="s">
        <v>356</v>
      </c>
      <c r="D1019" s="6" t="s">
        <v>179</v>
      </c>
      <c r="E1019" s="7"/>
      <c r="F1019" s="7"/>
      <c r="G1019" s="7"/>
      <c r="H1019" s="7"/>
      <c r="I1019" s="8"/>
      <c r="J1019" s="8"/>
      <c r="K1019" s="8"/>
      <c r="L1019" s="8"/>
      <c r="M1019" s="59">
        <f t="shared" si="90"/>
        <v>0</v>
      </c>
      <c r="O1019" s="4"/>
    </row>
    <row r="1020" spans="1:15" ht="20.25" customHeight="1">
      <c r="A1020" s="106">
        <v>1020</v>
      </c>
      <c r="B1020" s="4"/>
      <c r="C1020" s="6" t="s">
        <v>357</v>
      </c>
      <c r="D1020" s="6" t="s">
        <v>358</v>
      </c>
      <c r="E1020" s="7"/>
      <c r="F1020" s="7"/>
      <c r="G1020" s="7"/>
      <c r="H1020" s="7">
        <v>799495.04</v>
      </c>
      <c r="I1020" s="8"/>
      <c r="J1020" s="8"/>
      <c r="K1020" s="8"/>
      <c r="L1020" s="8"/>
      <c r="M1020" s="59">
        <f t="shared" si="90"/>
        <v>799495</v>
      </c>
      <c r="O1020" s="4"/>
    </row>
    <row r="1021" spans="1:15" ht="20.25" customHeight="1">
      <c r="A1021" s="106">
        <v>1021</v>
      </c>
      <c r="B1021" s="4"/>
      <c r="C1021" s="6" t="s">
        <v>359</v>
      </c>
      <c r="D1021" s="6" t="s">
        <v>181</v>
      </c>
      <c r="E1021" s="7"/>
      <c r="F1021" s="7"/>
      <c r="G1021" s="7"/>
      <c r="H1021" s="7">
        <v>190979</v>
      </c>
      <c r="I1021" s="8"/>
      <c r="J1021" s="8"/>
      <c r="K1021" s="8"/>
      <c r="L1021" s="8"/>
      <c r="M1021" s="59">
        <f t="shared" si="90"/>
        <v>190979</v>
      </c>
      <c r="O1021" s="4"/>
    </row>
    <row r="1022" spans="1:15" ht="20.25" customHeight="1">
      <c r="A1022" s="106">
        <v>1022</v>
      </c>
      <c r="B1022" s="4"/>
      <c r="C1022" s="6" t="s">
        <v>360</v>
      </c>
      <c r="D1022" s="284" t="s">
        <v>361</v>
      </c>
      <c r="E1022" s="6">
        <f t="shared" ref="E1022:L1022" si="91">ROUND(SUM(E1015:E1021),0)</f>
        <v>0</v>
      </c>
      <c r="F1022" s="6">
        <f t="shared" si="91"/>
        <v>99777</v>
      </c>
      <c r="G1022" s="6">
        <f t="shared" si="91"/>
        <v>0</v>
      </c>
      <c r="H1022" s="6">
        <f t="shared" si="91"/>
        <v>990474</v>
      </c>
      <c r="I1022" s="6">
        <f t="shared" si="91"/>
        <v>0</v>
      </c>
      <c r="J1022" s="6">
        <f t="shared" si="91"/>
        <v>0</v>
      </c>
      <c r="K1022" s="6">
        <f t="shared" si="91"/>
        <v>0</v>
      </c>
      <c r="L1022" s="6">
        <f t="shared" si="91"/>
        <v>0</v>
      </c>
      <c r="M1022" s="59">
        <f t="shared" si="90"/>
        <v>1090251</v>
      </c>
      <c r="O1022" s="4"/>
    </row>
    <row r="1023" spans="1:15" ht="20.25" customHeight="1">
      <c r="A1023" s="106">
        <v>1023</v>
      </c>
      <c r="B1023" s="4"/>
      <c r="C1023" s="6" t="s">
        <v>362</v>
      </c>
      <c r="D1023" s="284" t="s">
        <v>363</v>
      </c>
      <c r="E1023" s="7">
        <v>95276</v>
      </c>
      <c r="F1023" s="7">
        <v>586096</v>
      </c>
      <c r="G1023" s="7"/>
      <c r="H1023" s="7"/>
      <c r="I1023" s="8"/>
      <c r="J1023" s="8"/>
      <c r="K1023" s="8"/>
      <c r="L1023" s="8"/>
      <c r="M1023" s="59">
        <f t="shared" si="90"/>
        <v>681372</v>
      </c>
      <c r="N1023" s="674" t="str">
        <f>IF(edits!A815=1,"SPECIAL ED SPENDING FROM GRANTS SHOULD BE REPORTED ON THIS LINE"," ")</f>
        <v xml:space="preserve"> </v>
      </c>
      <c r="O1023" s="4"/>
    </row>
    <row r="1024" spans="1:15" ht="20.25" customHeight="1">
      <c r="A1024" s="106">
        <v>1024</v>
      </c>
      <c r="B1024" s="4"/>
      <c r="C1024" s="43" t="s">
        <v>364</v>
      </c>
      <c r="D1024" s="124" t="s">
        <v>365</v>
      </c>
      <c r="E1024" s="43">
        <f t="shared" ref="E1024:L1024" si="92">ROUND(+E1012+E1013+E1022+E1023,0)</f>
        <v>95276</v>
      </c>
      <c r="F1024" s="43">
        <f t="shared" si="92"/>
        <v>4553915</v>
      </c>
      <c r="G1024" s="43">
        <f t="shared" si="92"/>
        <v>0</v>
      </c>
      <c r="H1024" s="43">
        <f t="shared" si="92"/>
        <v>990474</v>
      </c>
      <c r="I1024" s="43">
        <f t="shared" si="92"/>
        <v>0</v>
      </c>
      <c r="J1024" s="43">
        <f t="shared" si="92"/>
        <v>0</v>
      </c>
      <c r="K1024" s="351">
        <f t="shared" si="92"/>
        <v>0</v>
      </c>
      <c r="L1024" s="351">
        <f t="shared" si="92"/>
        <v>284651</v>
      </c>
      <c r="M1024" s="59">
        <f t="shared" si="90"/>
        <v>5924316</v>
      </c>
      <c r="O1024" s="4"/>
    </row>
    <row r="1025" spans="1:15" ht="20.25" customHeight="1">
      <c r="A1025" s="106"/>
      <c r="B1025" s="4"/>
      <c r="C1025" s="4"/>
      <c r="D1025" s="13"/>
      <c r="E1025" s="99"/>
      <c r="F1025" s="99"/>
      <c r="G1025" s="99"/>
      <c r="H1025" s="99"/>
      <c r="I1025" s="99"/>
      <c r="J1025" s="99"/>
      <c r="K1025" s="99"/>
      <c r="L1025" s="4"/>
      <c r="M1025" s="4"/>
      <c r="N1025" s="4"/>
      <c r="O1025" s="4"/>
    </row>
    <row r="1026" spans="1:15" ht="20.25" customHeight="1">
      <c r="A1026" s="106"/>
      <c r="B1026" s="4"/>
      <c r="C1026" s="4"/>
      <c r="D1026" s="107" t="s">
        <v>366</v>
      </c>
      <c r="E1026" s="351" t="s">
        <v>367</v>
      </c>
      <c r="F1026" s="99"/>
      <c r="G1026" s="99"/>
      <c r="H1026" s="99"/>
      <c r="I1026" s="99"/>
      <c r="J1026" s="351" t="s">
        <v>368</v>
      </c>
      <c r="K1026" s="99"/>
      <c r="L1026" s="99"/>
      <c r="M1026" s="336"/>
      <c r="N1026" s="332"/>
      <c r="O1026" s="4"/>
    </row>
    <row r="1027" spans="1:15" ht="20.25" customHeight="1">
      <c r="A1027" s="106"/>
      <c r="B1027" s="4"/>
      <c r="C1027" s="4"/>
      <c r="E1027" s="370" t="s">
        <v>19</v>
      </c>
      <c r="F1027" s="371" t="s">
        <v>20</v>
      </c>
      <c r="G1027" s="370" t="s">
        <v>305</v>
      </c>
      <c r="H1027" s="370" t="s">
        <v>369</v>
      </c>
      <c r="I1027" s="370" t="s">
        <v>370</v>
      </c>
      <c r="J1027" s="370" t="s">
        <v>371</v>
      </c>
      <c r="K1027" s="371" t="s">
        <v>372</v>
      </c>
      <c r="L1027" s="372" t="s">
        <v>373</v>
      </c>
      <c r="M1027" s="373" t="s">
        <v>374</v>
      </c>
      <c r="N1027" s="332"/>
      <c r="O1027" s="358"/>
    </row>
    <row r="1028" spans="1:15" ht="20.25" customHeight="1">
      <c r="A1028" s="106"/>
      <c r="B1028" s="4"/>
      <c r="C1028" s="4"/>
      <c r="E1028" s="374"/>
      <c r="F1028" s="374"/>
      <c r="G1028" s="374"/>
      <c r="H1028" s="374"/>
      <c r="I1028" s="374"/>
      <c r="J1028" s="374"/>
      <c r="K1028" s="374"/>
      <c r="L1028" s="374"/>
      <c r="M1028" s="374"/>
      <c r="N1028" s="332"/>
      <c r="O1028" s="358"/>
    </row>
    <row r="1029" spans="1:15" ht="30" customHeight="1">
      <c r="A1029" s="106"/>
      <c r="B1029" s="4"/>
      <c r="C1029" s="4"/>
      <c r="D1029" s="107" t="s">
        <v>375</v>
      </c>
      <c r="E1029" s="375" t="s">
        <v>376</v>
      </c>
      <c r="F1029" s="376"/>
      <c r="G1029" s="377" t="s">
        <v>377</v>
      </c>
      <c r="H1029" s="378"/>
      <c r="I1029" s="379"/>
      <c r="J1029" s="375" t="s">
        <v>378</v>
      </c>
      <c r="K1029" s="376"/>
      <c r="L1029" s="377" t="s">
        <v>377</v>
      </c>
      <c r="M1029" s="361"/>
      <c r="N1029" s="332"/>
      <c r="O1029" s="4"/>
    </row>
    <row r="1030" spans="1:15" ht="20.25" customHeight="1">
      <c r="A1030" s="106"/>
      <c r="B1030" s="4"/>
      <c r="C1030" s="4"/>
      <c r="D1030" s="107" t="s">
        <v>379</v>
      </c>
      <c r="E1030" s="380" t="s">
        <v>380</v>
      </c>
      <c r="F1030" s="381"/>
      <c r="G1030" s="382" t="s">
        <v>381</v>
      </c>
      <c r="H1030" s="382"/>
      <c r="I1030" s="383"/>
      <c r="J1030" s="380" t="s">
        <v>382</v>
      </c>
      <c r="K1030" s="381"/>
      <c r="L1030" s="382" t="s">
        <v>383</v>
      </c>
      <c r="M1030" s="384"/>
      <c r="N1030" s="332"/>
      <c r="O1030" s="4"/>
    </row>
    <row r="1031" spans="1:15" ht="17.25" customHeight="1">
      <c r="A1031" s="106"/>
      <c r="B1031" s="4"/>
      <c r="C1031" s="4"/>
      <c r="D1031" s="107"/>
      <c r="E1031" s="380" t="s">
        <v>384</v>
      </c>
      <c r="F1031" s="381"/>
      <c r="G1031" s="382" t="s">
        <v>385</v>
      </c>
      <c r="H1031" s="382" t="s">
        <v>386</v>
      </c>
      <c r="I1031" s="383"/>
      <c r="J1031" s="380" t="s">
        <v>384</v>
      </c>
      <c r="K1031" s="381"/>
      <c r="L1031" s="382" t="s">
        <v>387</v>
      </c>
      <c r="M1031" s="385" t="s">
        <v>36</v>
      </c>
      <c r="N1031" s="332"/>
      <c r="O1031" s="4"/>
    </row>
    <row r="1032" spans="1:15" ht="16.5" customHeight="1">
      <c r="A1032" s="106"/>
      <c r="B1032" s="4"/>
      <c r="C1032" s="4"/>
      <c r="E1032" s="386" t="s">
        <v>388</v>
      </c>
      <c r="F1032" s="381"/>
      <c r="G1032" s="382" t="s">
        <v>389</v>
      </c>
      <c r="H1032" s="382" t="s">
        <v>390</v>
      </c>
      <c r="I1032" s="382" t="s">
        <v>36</v>
      </c>
      <c r="J1032" s="386" t="s">
        <v>388</v>
      </c>
      <c r="K1032" s="381"/>
      <c r="L1032" s="382" t="s">
        <v>391</v>
      </c>
      <c r="M1032" s="384"/>
      <c r="N1032" s="332"/>
      <c r="O1032" s="4"/>
    </row>
    <row r="1033" spans="1:15" ht="20.25" customHeight="1">
      <c r="A1033" s="106"/>
      <c r="B1033" s="4"/>
      <c r="C1033" s="4"/>
      <c r="E1033" s="387" t="s">
        <v>392</v>
      </c>
      <c r="F1033" s="387" t="s">
        <v>393</v>
      </c>
      <c r="G1033" s="382" t="s">
        <v>394</v>
      </c>
      <c r="H1033" s="383" t="s">
        <v>395</v>
      </c>
      <c r="I1033" s="382" t="s">
        <v>396</v>
      </c>
      <c r="J1033" s="387" t="s">
        <v>392</v>
      </c>
      <c r="K1033" s="387" t="s">
        <v>393</v>
      </c>
      <c r="L1033" s="382" t="s">
        <v>397</v>
      </c>
      <c r="M1033" s="385" t="s">
        <v>396</v>
      </c>
      <c r="N1033" s="332"/>
      <c r="O1033" s="4"/>
    </row>
    <row r="1034" spans="1:15" ht="15" customHeight="1">
      <c r="A1034" s="106"/>
      <c r="B1034" s="4"/>
      <c r="C1034" s="4"/>
      <c r="E1034" s="382" t="s">
        <v>398</v>
      </c>
      <c r="F1034" s="382" t="s">
        <v>399</v>
      </c>
      <c r="G1034" s="382" t="s">
        <v>400</v>
      </c>
      <c r="H1034" s="382" t="s">
        <v>401</v>
      </c>
      <c r="I1034" s="383" t="s">
        <v>402</v>
      </c>
      <c r="J1034" s="382" t="s">
        <v>398</v>
      </c>
      <c r="K1034" s="382" t="s">
        <v>399</v>
      </c>
      <c r="L1034" s="382" t="s">
        <v>403</v>
      </c>
      <c r="M1034" s="384" t="s">
        <v>404</v>
      </c>
      <c r="N1034" s="332"/>
      <c r="O1034" s="4"/>
    </row>
    <row r="1035" spans="1:15" ht="20.25" customHeight="1">
      <c r="A1035" s="106"/>
      <c r="B1035" s="4"/>
      <c r="C1035" s="4"/>
      <c r="D1035" s="13" t="s">
        <v>405</v>
      </c>
      <c r="E1035" s="78"/>
      <c r="F1035" s="78"/>
      <c r="G1035" s="78"/>
      <c r="H1035" s="78"/>
      <c r="I1035" s="78"/>
      <c r="J1035" s="78"/>
      <c r="K1035" s="78"/>
      <c r="L1035" s="78"/>
      <c r="M1035" s="388"/>
      <c r="N1035" s="4"/>
      <c r="O1035" s="4"/>
    </row>
    <row r="1036" spans="1:15" ht="20.25" customHeight="1">
      <c r="A1036" s="106">
        <v>1036</v>
      </c>
      <c r="B1036" s="4"/>
      <c r="C1036" s="43" t="s">
        <v>406</v>
      </c>
      <c r="D1036" s="43" t="s">
        <v>407</v>
      </c>
      <c r="E1036" s="10">
        <v>767525</v>
      </c>
      <c r="F1036" s="10"/>
      <c r="G1036" s="10">
        <v>150000</v>
      </c>
      <c r="H1036" s="10"/>
      <c r="I1036" s="43">
        <f>ROUND(SUM(E1036:H1036),0)</f>
        <v>917525</v>
      </c>
      <c r="J1036" s="10">
        <v>950</v>
      </c>
      <c r="K1036" s="10"/>
      <c r="L1036" s="10">
        <v>190</v>
      </c>
      <c r="M1036" s="43">
        <f>ROUND(SUM(J1036:L1036),0)</f>
        <v>1140</v>
      </c>
      <c r="N1036" s="4"/>
      <c r="O1036" s="86"/>
    </row>
    <row r="1037" spans="1:15" ht="20.25" customHeight="1">
      <c r="A1037" s="106">
        <v>1037</v>
      </c>
      <c r="B1037" s="4"/>
      <c r="C1037" s="43" t="s">
        <v>408</v>
      </c>
      <c r="D1037" s="43" t="s">
        <v>409</v>
      </c>
      <c r="E1037" s="10"/>
      <c r="F1037" s="10"/>
      <c r="G1037" s="10"/>
      <c r="H1037" s="10"/>
      <c r="I1037" s="43">
        <f>ROUND(SUM(E1037:H1037),0)</f>
        <v>0</v>
      </c>
      <c r="J1037" s="10"/>
      <c r="K1037" s="10"/>
      <c r="L1037" s="10"/>
      <c r="M1037" s="43">
        <f>ROUND(SUM(J1037:L1037),0)</f>
        <v>0</v>
      </c>
      <c r="N1037" s="4"/>
      <c r="O1037" s="86"/>
    </row>
    <row r="1038" spans="1:15" ht="20.25" customHeight="1">
      <c r="A1038" s="106">
        <v>1038</v>
      </c>
      <c r="B1038" s="4"/>
      <c r="C1038" s="43" t="s">
        <v>410</v>
      </c>
      <c r="D1038" s="43" t="s">
        <v>411</v>
      </c>
      <c r="E1038" s="10"/>
      <c r="F1038" s="10"/>
      <c r="G1038" s="10"/>
      <c r="H1038" s="10"/>
      <c r="I1038" s="43">
        <f>ROUND(SUM(E1038:H1038),0)</f>
        <v>0</v>
      </c>
      <c r="J1038" s="10"/>
      <c r="K1038" s="10"/>
      <c r="L1038" s="10"/>
      <c r="M1038" s="43">
        <f>ROUND(SUM(J1038:L1038),0)</f>
        <v>0</v>
      </c>
      <c r="N1038" s="4"/>
      <c r="O1038" s="86"/>
    </row>
    <row r="1039" spans="1:15" ht="20.25" customHeight="1">
      <c r="A1039" s="106">
        <v>1039</v>
      </c>
      <c r="B1039" s="4"/>
      <c r="C1039" s="43" t="s">
        <v>412</v>
      </c>
      <c r="D1039" s="43" t="s">
        <v>413</v>
      </c>
      <c r="E1039" s="43">
        <v>724845</v>
      </c>
      <c r="F1039" s="43">
        <f>ROUND(SUM(F1036:F1038),0)</f>
        <v>0</v>
      </c>
      <c r="G1039" s="43">
        <v>192680</v>
      </c>
      <c r="H1039" s="43">
        <f>ROUND(SUM(H1036:H1038),0)</f>
        <v>0</v>
      </c>
      <c r="I1039" s="43">
        <f>ROUND(SUM(E1039:H1039),0)</f>
        <v>917525</v>
      </c>
      <c r="J1039" s="43">
        <v>747</v>
      </c>
      <c r="K1039" s="43">
        <f>ROUND(SUM(K1036:K1038),0)</f>
        <v>0</v>
      </c>
      <c r="L1039" s="43">
        <v>198</v>
      </c>
      <c r="M1039" s="43">
        <f>ROUND(SUM(J1039:L1039),0)</f>
        <v>945</v>
      </c>
      <c r="N1039" s="4"/>
      <c r="O1039" s="86"/>
    </row>
    <row r="1040" spans="1:15" ht="20.25" customHeight="1">
      <c r="A1040" s="106"/>
      <c r="B1040" s="4"/>
      <c r="C1040" s="4"/>
      <c r="D1040" s="4"/>
      <c r="E1040" s="4"/>
      <c r="F1040" s="4"/>
      <c r="G1040" s="4"/>
      <c r="H1040" s="4"/>
      <c r="I1040" s="4"/>
      <c r="J1040" s="4"/>
      <c r="K1040" s="4"/>
      <c r="L1040" s="4"/>
      <c r="M1040" s="4"/>
      <c r="N1040" s="4"/>
      <c r="O1040" s="86"/>
    </row>
    <row r="1041" spans="1:15" ht="20.25" customHeight="1">
      <c r="A1041" s="106" t="s">
        <v>100</v>
      </c>
      <c r="B1041" s="4"/>
      <c r="C1041" s="4"/>
      <c r="D1041" s="4"/>
      <c r="E1041" s="4"/>
      <c r="F1041" s="4"/>
      <c r="G1041" s="4"/>
      <c r="H1041" s="4"/>
      <c r="I1041" s="4"/>
      <c r="J1041" s="4"/>
      <c r="K1041" s="4"/>
      <c r="L1041" s="4"/>
      <c r="M1041" s="4"/>
      <c r="N1041" s="4"/>
      <c r="O1041" s="86"/>
    </row>
    <row r="1042" spans="1:15" ht="104.25" customHeight="1">
      <c r="A1042" s="106" t="s">
        <v>100</v>
      </c>
      <c r="B1042" s="4"/>
      <c r="C1042" s="6"/>
      <c r="D1042" s="287" t="s">
        <v>414</v>
      </c>
      <c r="E1042" s="389" t="s">
        <v>415</v>
      </c>
      <c r="F1042" s="389" t="s">
        <v>416</v>
      </c>
      <c r="G1042" s="390"/>
      <c r="H1042" s="389" t="s">
        <v>417</v>
      </c>
      <c r="I1042" s="389" t="s">
        <v>418</v>
      </c>
      <c r="J1042" s="389" t="s">
        <v>419</v>
      </c>
      <c r="K1042" s="389" t="s">
        <v>420</v>
      </c>
      <c r="L1042" s="391"/>
      <c r="M1042" s="389" t="s">
        <v>421</v>
      </c>
      <c r="N1042" s="332"/>
      <c r="O1042" s="4"/>
    </row>
    <row r="1043" spans="1:15" ht="20.25" customHeight="1">
      <c r="A1043" s="106">
        <v>1043</v>
      </c>
      <c r="B1043" s="4"/>
      <c r="C1043" s="43" t="s">
        <v>422</v>
      </c>
      <c r="D1043" s="392" t="s">
        <v>423</v>
      </c>
      <c r="E1043" s="10"/>
      <c r="F1043" s="670">
        <v>15267</v>
      </c>
      <c r="G1043" s="116"/>
      <c r="H1043" s="10"/>
      <c r="I1043" s="43">
        <f t="shared" ref="I1043:I1050" si="93">ROUND(E1043+F1043+H1043,0)</f>
        <v>15267</v>
      </c>
      <c r="J1043" s="670"/>
      <c r="K1043" s="671">
        <v>4</v>
      </c>
      <c r="L1043" s="116"/>
      <c r="M1043" s="43">
        <f t="shared" ref="M1043:M1050" si="94">ROUND(J1043+K1043,0)</f>
        <v>4</v>
      </c>
      <c r="N1043" s="4"/>
      <c r="O1043" s="4"/>
    </row>
    <row r="1044" spans="1:15" ht="20.25" customHeight="1">
      <c r="A1044" s="106">
        <v>1044</v>
      </c>
      <c r="B1044" s="4"/>
      <c r="C1044" s="43" t="s">
        <v>424</v>
      </c>
      <c r="D1044" s="43" t="s">
        <v>425</v>
      </c>
      <c r="E1044" s="10"/>
      <c r="F1044" s="670">
        <v>148593</v>
      </c>
      <c r="G1044" s="116"/>
      <c r="H1044" s="10"/>
      <c r="I1044" s="43">
        <f t="shared" si="93"/>
        <v>148593</v>
      </c>
      <c r="J1044" s="670"/>
      <c r="K1044" s="671">
        <v>27</v>
      </c>
      <c r="L1044" s="116"/>
      <c r="M1044" s="43">
        <f t="shared" si="94"/>
        <v>27</v>
      </c>
      <c r="N1044" s="4"/>
      <c r="O1044" s="4"/>
    </row>
    <row r="1045" spans="1:15" ht="20.25" customHeight="1">
      <c r="A1045" s="106">
        <v>1045</v>
      </c>
      <c r="B1045" s="4"/>
      <c r="C1045" s="43" t="s">
        <v>426</v>
      </c>
      <c r="D1045" s="43" t="s">
        <v>427</v>
      </c>
      <c r="E1045" s="10"/>
      <c r="F1045" s="670">
        <v>92853</v>
      </c>
      <c r="G1045" s="116"/>
      <c r="H1045" s="10"/>
      <c r="I1045" s="43">
        <f t="shared" si="93"/>
        <v>92853</v>
      </c>
      <c r="J1045" s="670"/>
      <c r="K1045" s="672">
        <v>7</v>
      </c>
      <c r="L1045" s="116"/>
      <c r="M1045" s="43">
        <f t="shared" si="94"/>
        <v>7</v>
      </c>
      <c r="N1045" s="4"/>
      <c r="O1045" s="4"/>
    </row>
    <row r="1046" spans="1:15" ht="20.25" customHeight="1">
      <c r="A1046" s="106">
        <v>1046</v>
      </c>
      <c r="B1046" s="4"/>
      <c r="C1046" s="393">
        <v>4120</v>
      </c>
      <c r="D1046" s="43" t="s">
        <v>428</v>
      </c>
      <c r="E1046" s="10"/>
      <c r="F1046" s="670">
        <v>102181</v>
      </c>
      <c r="G1046" s="116"/>
      <c r="H1046" s="10"/>
      <c r="I1046" s="43">
        <f t="shared" si="93"/>
        <v>102181</v>
      </c>
      <c r="J1046" s="673"/>
      <c r="K1046" s="672">
        <v>4</v>
      </c>
      <c r="L1046" s="116"/>
      <c r="M1046" s="43">
        <f t="shared" si="94"/>
        <v>4</v>
      </c>
      <c r="N1046" s="4"/>
      <c r="O1046" s="4"/>
    </row>
    <row r="1047" spans="1:15" ht="20.25" customHeight="1">
      <c r="A1047" s="106">
        <v>1047</v>
      </c>
      <c r="B1047" s="4"/>
      <c r="C1047" s="393">
        <v>4130</v>
      </c>
      <c r="D1047" s="43" t="s">
        <v>429</v>
      </c>
      <c r="E1047" s="10"/>
      <c r="F1047" s="670">
        <v>8189</v>
      </c>
      <c r="G1047" s="116"/>
      <c r="H1047" s="10"/>
      <c r="I1047" s="43">
        <f t="shared" si="93"/>
        <v>8189</v>
      </c>
      <c r="J1047" s="673"/>
      <c r="K1047" s="672">
        <v>1</v>
      </c>
      <c r="L1047" s="116"/>
      <c r="M1047" s="43">
        <f t="shared" si="94"/>
        <v>1</v>
      </c>
      <c r="N1047" s="4"/>
      <c r="O1047" s="4"/>
    </row>
    <row r="1048" spans="1:15" ht="20.25" customHeight="1">
      <c r="A1048" s="106">
        <v>1048</v>
      </c>
      <c r="B1048" s="4"/>
      <c r="C1048" s="393">
        <v>4140</v>
      </c>
      <c r="D1048" s="43" t="s">
        <v>430</v>
      </c>
      <c r="E1048" s="10"/>
      <c r="F1048" s="10"/>
      <c r="G1048" s="116"/>
      <c r="H1048" s="10"/>
      <c r="I1048" s="43">
        <f t="shared" si="93"/>
        <v>0</v>
      </c>
      <c r="J1048" s="10"/>
      <c r="K1048" s="93"/>
      <c r="L1048" s="116"/>
      <c r="M1048" s="43">
        <f t="shared" si="94"/>
        <v>0</v>
      </c>
      <c r="N1048" s="4"/>
      <c r="O1048" s="4"/>
    </row>
    <row r="1049" spans="1:15" ht="20.25" customHeight="1">
      <c r="A1049" s="106">
        <v>1049</v>
      </c>
      <c r="B1049" s="4"/>
      <c r="C1049" s="393">
        <v>4150</v>
      </c>
      <c r="D1049" s="43" t="s">
        <v>431</v>
      </c>
      <c r="E1049" s="10"/>
      <c r="F1049" s="10"/>
      <c r="G1049" s="116"/>
      <c r="H1049" s="10"/>
      <c r="I1049" s="43">
        <f t="shared" si="93"/>
        <v>0</v>
      </c>
      <c r="J1049" s="10"/>
      <c r="K1049" s="93"/>
      <c r="L1049" s="116"/>
      <c r="M1049" s="43">
        <f t="shared" si="94"/>
        <v>0</v>
      </c>
      <c r="N1049" s="4"/>
      <c r="O1049" s="4"/>
    </row>
    <row r="1050" spans="1:15" ht="20.25" customHeight="1">
      <c r="A1050" s="106">
        <v>1050</v>
      </c>
      <c r="B1050" s="4"/>
      <c r="C1050" s="393">
        <v>4160</v>
      </c>
      <c r="D1050" s="124" t="s">
        <v>432</v>
      </c>
      <c r="E1050" s="43">
        <f>ROUND(SUM(E1043:E1049),0)</f>
        <v>0</v>
      </c>
      <c r="F1050" s="43">
        <f>ROUND(SUM(F1043:F1049),0)</f>
        <v>367083</v>
      </c>
      <c r="G1050" s="116"/>
      <c r="H1050" s="43">
        <f>ROUND(SUM(H1043:H1049),0)</f>
        <v>0</v>
      </c>
      <c r="I1050" s="43">
        <f t="shared" si="93"/>
        <v>367083</v>
      </c>
      <c r="J1050" s="43">
        <f>ROUND(SUM(J1043:J1049),0)</f>
        <v>0</v>
      </c>
      <c r="K1050" s="43">
        <f>ROUND(SUM(K1043:K1049),0)</f>
        <v>43</v>
      </c>
      <c r="L1050" s="116"/>
      <c r="M1050" s="43">
        <f t="shared" si="94"/>
        <v>43</v>
      </c>
      <c r="N1050" s="4"/>
      <c r="O1050" s="86"/>
    </row>
    <row r="1051" spans="1:15" ht="20.25" customHeight="1">
      <c r="A1051" s="106"/>
      <c r="B1051" s="4"/>
      <c r="C1051" s="394"/>
      <c r="D1051" s="287"/>
      <c r="E1051" s="99"/>
      <c r="F1051" s="99"/>
      <c r="G1051" s="99"/>
      <c r="H1051" s="99"/>
      <c r="I1051" s="99"/>
      <c r="J1051" s="99"/>
      <c r="K1051" s="99"/>
      <c r="L1051" s="99"/>
      <c r="M1051" s="99"/>
      <c r="N1051" s="4"/>
      <c r="O1051" s="86"/>
    </row>
    <row r="1052" spans="1:15" ht="24.75" customHeight="1">
      <c r="A1052" s="106"/>
      <c r="B1052" s="4"/>
      <c r="C1052" s="395"/>
      <c r="D1052" s="396"/>
      <c r="E1052" s="397" t="s">
        <v>433</v>
      </c>
      <c r="F1052" s="398"/>
      <c r="G1052" s="399" t="s">
        <v>377</v>
      </c>
      <c r="H1052" s="400"/>
      <c r="I1052" s="387"/>
      <c r="J1052" s="397" t="s">
        <v>376</v>
      </c>
      <c r="K1052" s="398"/>
      <c r="L1052" s="399" t="s">
        <v>434</v>
      </c>
      <c r="M1052" s="401"/>
      <c r="N1052" s="4"/>
      <c r="O1052" s="86"/>
    </row>
    <row r="1053" spans="1:15" ht="15.75" customHeight="1">
      <c r="A1053" s="106"/>
      <c r="B1053" s="4"/>
      <c r="C1053" s="402"/>
      <c r="D1053" s="403"/>
      <c r="E1053" s="404" t="s">
        <v>435</v>
      </c>
      <c r="F1053" s="405"/>
      <c r="G1053" s="382" t="s">
        <v>381</v>
      </c>
      <c r="H1053" s="382"/>
      <c r="I1053" s="383"/>
      <c r="J1053" s="404" t="s">
        <v>436</v>
      </c>
      <c r="K1053" s="381"/>
      <c r="L1053" s="382" t="s">
        <v>437</v>
      </c>
      <c r="M1053" s="384"/>
      <c r="N1053" s="4"/>
      <c r="O1053" s="86"/>
    </row>
    <row r="1054" spans="1:15" ht="13.5" customHeight="1">
      <c r="A1054" s="106"/>
      <c r="B1054" s="4"/>
      <c r="C1054" s="402"/>
      <c r="D1054" s="403"/>
      <c r="E1054" s="404" t="s">
        <v>438</v>
      </c>
      <c r="F1054" s="405"/>
      <c r="G1054" s="382" t="s">
        <v>439</v>
      </c>
      <c r="H1054" s="382" t="s">
        <v>386</v>
      </c>
      <c r="I1054" s="383"/>
      <c r="J1054" s="404" t="s">
        <v>440</v>
      </c>
      <c r="K1054" s="381"/>
      <c r="L1054" s="382" t="s">
        <v>387</v>
      </c>
      <c r="M1054" s="385" t="s">
        <v>36</v>
      </c>
      <c r="N1054" s="4"/>
      <c r="O1054" s="86"/>
    </row>
    <row r="1055" spans="1:15" ht="14.25" customHeight="1">
      <c r="A1055" s="106"/>
      <c r="B1055" s="4"/>
      <c r="C1055" s="402"/>
      <c r="D1055" s="403"/>
      <c r="E1055" s="406" t="s">
        <v>441</v>
      </c>
      <c r="F1055" s="405"/>
      <c r="G1055" s="382" t="s">
        <v>442</v>
      </c>
      <c r="H1055" s="382" t="s">
        <v>390</v>
      </c>
      <c r="I1055" s="382" t="s">
        <v>36</v>
      </c>
      <c r="J1055" s="406" t="s">
        <v>443</v>
      </c>
      <c r="K1055" s="381"/>
      <c r="L1055" s="382" t="s">
        <v>391</v>
      </c>
      <c r="M1055" s="384"/>
      <c r="N1055" s="4"/>
      <c r="O1055" s="86"/>
    </row>
    <row r="1056" spans="1:15" ht="14.25" customHeight="1">
      <c r="A1056" s="106"/>
      <c r="B1056" s="4"/>
      <c r="C1056" s="402"/>
      <c r="D1056" s="403"/>
      <c r="E1056" s="387" t="s">
        <v>392</v>
      </c>
      <c r="F1056" s="387" t="s">
        <v>393</v>
      </c>
      <c r="G1056" s="382" t="s">
        <v>444</v>
      </c>
      <c r="H1056" s="383" t="s">
        <v>395</v>
      </c>
      <c r="I1056" s="382" t="s">
        <v>396</v>
      </c>
      <c r="J1056" s="387" t="s">
        <v>392</v>
      </c>
      <c r="K1056" s="387" t="s">
        <v>393</v>
      </c>
      <c r="L1056" s="382" t="s">
        <v>397</v>
      </c>
      <c r="M1056" s="385" t="s">
        <v>396</v>
      </c>
      <c r="N1056" s="4"/>
      <c r="O1056" s="86"/>
    </row>
    <row r="1057" spans="1:15" ht="14.25" customHeight="1">
      <c r="A1057" s="106"/>
      <c r="B1057" s="4"/>
      <c r="C1057" s="78"/>
      <c r="D1057" s="403" t="s">
        <v>445</v>
      </c>
      <c r="E1057" s="382" t="s">
        <v>398</v>
      </c>
      <c r="F1057" s="382" t="s">
        <v>399</v>
      </c>
      <c r="G1057" s="382" t="s">
        <v>400</v>
      </c>
      <c r="H1057" s="382" t="s">
        <v>401</v>
      </c>
      <c r="I1057" s="383" t="s">
        <v>402</v>
      </c>
      <c r="J1057" s="382" t="s">
        <v>398</v>
      </c>
      <c r="K1057" s="382" t="s">
        <v>399</v>
      </c>
      <c r="L1057" s="382" t="s">
        <v>403</v>
      </c>
      <c r="M1057" s="384" t="s">
        <v>404</v>
      </c>
      <c r="N1057" s="4"/>
      <c r="O1057" s="4"/>
    </row>
    <row r="1058" spans="1:15" ht="20.25" customHeight="1">
      <c r="A1058" s="106">
        <v>1058</v>
      </c>
      <c r="B1058" s="4"/>
      <c r="C1058" s="43" t="s">
        <v>446</v>
      </c>
      <c r="D1058" s="43" t="s">
        <v>407</v>
      </c>
      <c r="E1058" s="10"/>
      <c r="F1058" s="10"/>
      <c r="G1058" s="10"/>
      <c r="H1058" s="10"/>
      <c r="I1058" s="43">
        <f>ROUND(SUM(E1058:H1058),0)</f>
        <v>0</v>
      </c>
      <c r="J1058" s="10"/>
      <c r="K1058" s="10"/>
      <c r="L1058" s="10"/>
      <c r="M1058" s="43">
        <f>ROUND(SUM(J1058:L1058),0)</f>
        <v>0</v>
      </c>
      <c r="N1058" s="4"/>
      <c r="O1058" s="86"/>
    </row>
    <row r="1059" spans="1:15" ht="20.25" customHeight="1">
      <c r="A1059" s="106">
        <v>1059</v>
      </c>
      <c r="B1059" s="4"/>
      <c r="C1059" s="43" t="s">
        <v>447</v>
      </c>
      <c r="D1059" s="43" t="s">
        <v>409</v>
      </c>
      <c r="E1059" s="10"/>
      <c r="F1059" s="10"/>
      <c r="G1059" s="10"/>
      <c r="H1059" s="10"/>
      <c r="I1059" s="43">
        <f>ROUND(SUM(E1059:H1059),0)</f>
        <v>0</v>
      </c>
      <c r="J1059" s="10"/>
      <c r="K1059" s="10"/>
      <c r="L1059" s="10"/>
      <c r="M1059" s="43">
        <f>ROUND(SUM(J1059:L1059),0)</f>
        <v>0</v>
      </c>
      <c r="N1059" s="4"/>
      <c r="O1059" s="80"/>
    </row>
    <row r="1060" spans="1:15" ht="20.25" customHeight="1">
      <c r="A1060" s="106" t="s">
        <v>100</v>
      </c>
      <c r="B1060" s="4"/>
      <c r="C1060" s="4"/>
      <c r="D1060" s="4"/>
      <c r="E1060" s="4"/>
      <c r="F1060" s="4"/>
      <c r="G1060" s="4"/>
      <c r="H1060" s="4"/>
      <c r="I1060" s="4"/>
      <c r="J1060" s="4"/>
      <c r="K1060" s="4"/>
      <c r="L1060" s="4"/>
      <c r="M1060" s="4"/>
      <c r="N1060" s="4"/>
      <c r="O1060" s="80"/>
    </row>
    <row r="1061" spans="1:15" ht="26.25" customHeight="1">
      <c r="A1061" s="106" t="s">
        <v>100</v>
      </c>
      <c r="B1061" s="4"/>
      <c r="C1061" s="6"/>
      <c r="D1061" s="407"/>
      <c r="E1061" s="397" t="s">
        <v>376</v>
      </c>
      <c r="F1061" s="398"/>
      <c r="G1061" s="399" t="s">
        <v>377</v>
      </c>
      <c r="H1061" s="400"/>
      <c r="I1061" s="387"/>
      <c r="J1061" s="397" t="s">
        <v>448</v>
      </c>
      <c r="K1061" s="398"/>
      <c r="L1061" s="399" t="s">
        <v>434</v>
      </c>
      <c r="M1061" s="401"/>
      <c r="N1061" s="332"/>
      <c r="O1061" s="80"/>
    </row>
    <row r="1062" spans="1:15" ht="17.25" customHeight="1">
      <c r="A1062" s="106" t="s">
        <v>100</v>
      </c>
      <c r="B1062" s="4"/>
      <c r="C1062" s="78"/>
      <c r="D1062" s="348"/>
      <c r="E1062" s="404" t="s">
        <v>449</v>
      </c>
      <c r="F1062" s="381"/>
      <c r="G1062" s="382" t="s">
        <v>381</v>
      </c>
      <c r="H1062" s="382"/>
      <c r="I1062" s="383"/>
      <c r="J1062" s="380" t="s">
        <v>450</v>
      </c>
      <c r="K1062" s="381"/>
      <c r="L1062" s="382" t="s">
        <v>451</v>
      </c>
      <c r="M1062" s="384"/>
      <c r="N1062" s="332"/>
      <c r="O1062" s="80"/>
    </row>
    <row r="1063" spans="1:15" ht="17.25" customHeight="1">
      <c r="A1063" s="106" t="s">
        <v>100</v>
      </c>
      <c r="B1063" s="4"/>
      <c r="C1063" s="78"/>
      <c r="D1063" s="348"/>
      <c r="E1063" s="404" t="s">
        <v>438</v>
      </c>
      <c r="F1063" s="381"/>
      <c r="G1063" s="382" t="s">
        <v>452</v>
      </c>
      <c r="H1063" s="382" t="s">
        <v>386</v>
      </c>
      <c r="I1063" s="383"/>
      <c r="J1063" s="380" t="s">
        <v>384</v>
      </c>
      <c r="K1063" s="381"/>
      <c r="L1063" s="382" t="s">
        <v>387</v>
      </c>
      <c r="M1063" s="385" t="s">
        <v>36</v>
      </c>
      <c r="N1063" s="332"/>
      <c r="O1063" s="80"/>
    </row>
    <row r="1064" spans="1:15" ht="17.25" customHeight="1">
      <c r="A1064" s="106" t="s">
        <v>100</v>
      </c>
      <c r="B1064" s="4"/>
      <c r="C1064" s="78"/>
      <c r="D1064" s="348"/>
      <c r="E1064" s="406" t="s">
        <v>453</v>
      </c>
      <c r="F1064" s="381"/>
      <c r="G1064" s="382" t="s">
        <v>442</v>
      </c>
      <c r="H1064" s="382" t="s">
        <v>390</v>
      </c>
      <c r="I1064" s="382" t="s">
        <v>36</v>
      </c>
      <c r="J1064" s="386" t="s">
        <v>443</v>
      </c>
      <c r="K1064" s="381"/>
      <c r="L1064" s="382" t="s">
        <v>391</v>
      </c>
      <c r="M1064" s="384"/>
      <c r="N1064" s="332"/>
      <c r="O1064" s="80"/>
    </row>
    <row r="1065" spans="1:15" ht="17.25" customHeight="1">
      <c r="A1065" s="106" t="s">
        <v>100</v>
      </c>
      <c r="B1065" s="4"/>
      <c r="C1065" s="78"/>
      <c r="D1065" s="348"/>
      <c r="E1065" s="387" t="s">
        <v>392</v>
      </c>
      <c r="F1065" s="387" t="s">
        <v>393</v>
      </c>
      <c r="G1065" s="382" t="s">
        <v>454</v>
      </c>
      <c r="H1065" s="383" t="s">
        <v>395</v>
      </c>
      <c r="I1065" s="382" t="s">
        <v>396</v>
      </c>
      <c r="J1065" s="387" t="s">
        <v>392</v>
      </c>
      <c r="K1065" s="387" t="s">
        <v>393</v>
      </c>
      <c r="L1065" s="382" t="s">
        <v>397</v>
      </c>
      <c r="M1065" s="385" t="s">
        <v>396</v>
      </c>
      <c r="N1065" s="332"/>
      <c r="O1065" s="80"/>
    </row>
    <row r="1066" spans="1:15" ht="17.25" customHeight="1">
      <c r="A1066" s="106" t="s">
        <v>100</v>
      </c>
      <c r="B1066" s="4"/>
      <c r="C1066" s="78"/>
      <c r="D1066" s="13" t="s">
        <v>455</v>
      </c>
      <c r="E1066" s="382" t="s">
        <v>398</v>
      </c>
      <c r="F1066" s="382" t="s">
        <v>399</v>
      </c>
      <c r="G1066" s="382" t="s">
        <v>456</v>
      </c>
      <c r="H1066" s="382" t="s">
        <v>401</v>
      </c>
      <c r="I1066" s="383" t="s">
        <v>402</v>
      </c>
      <c r="J1066" s="382" t="s">
        <v>398</v>
      </c>
      <c r="K1066" s="382" t="s">
        <v>399</v>
      </c>
      <c r="L1066" s="382" t="s">
        <v>403</v>
      </c>
      <c r="M1066" s="384" t="s">
        <v>404</v>
      </c>
      <c r="N1066" s="332"/>
      <c r="O1066" s="4"/>
    </row>
    <row r="1067" spans="1:15" ht="20.25" customHeight="1">
      <c r="A1067" s="106">
        <v>1067</v>
      </c>
      <c r="B1067" s="4"/>
      <c r="C1067" s="43" t="s">
        <v>457</v>
      </c>
      <c r="D1067" s="43" t="s">
        <v>407</v>
      </c>
      <c r="E1067" s="10"/>
      <c r="F1067" s="10"/>
      <c r="G1067" s="10"/>
      <c r="H1067" s="10"/>
      <c r="I1067" s="43">
        <f>ROUND(SUM(E1067:H1067),0)</f>
        <v>0</v>
      </c>
      <c r="J1067" s="10"/>
      <c r="K1067" s="10"/>
      <c r="L1067" s="10"/>
      <c r="M1067" s="43">
        <f>ROUND(SUM(J1067:L1067),0)</f>
        <v>0</v>
      </c>
      <c r="N1067" s="4"/>
      <c r="O1067" s="86"/>
    </row>
    <row r="1068" spans="1:15" ht="20.25" customHeight="1">
      <c r="A1068" s="106">
        <v>1068</v>
      </c>
      <c r="B1068" s="4"/>
      <c r="C1068" s="43" t="s">
        <v>458</v>
      </c>
      <c r="D1068" s="43" t="s">
        <v>409</v>
      </c>
      <c r="E1068" s="10"/>
      <c r="F1068" s="10"/>
      <c r="G1068" s="10"/>
      <c r="H1068" s="10"/>
      <c r="I1068" s="43">
        <f>ROUND(SUM(E1068:H1068),0)</f>
        <v>0</v>
      </c>
      <c r="J1068" s="10"/>
      <c r="K1068" s="10"/>
      <c r="L1068" s="10"/>
      <c r="M1068" s="43">
        <f>ROUND(SUM(J1068:L1068),0)</f>
        <v>0</v>
      </c>
      <c r="N1068" s="4"/>
      <c r="O1068" s="86"/>
    </row>
    <row r="1069" spans="1:15" ht="20.25" customHeight="1">
      <c r="A1069" s="106"/>
      <c r="B1069" s="4"/>
      <c r="C1069" s="4"/>
      <c r="D1069" s="4"/>
      <c r="E1069" s="4"/>
      <c r="F1069" s="4"/>
      <c r="G1069" s="4"/>
      <c r="H1069" s="4"/>
      <c r="I1069" s="4"/>
      <c r="J1069" s="4"/>
      <c r="K1069" s="4"/>
      <c r="L1069" s="4"/>
      <c r="M1069" s="4"/>
      <c r="N1069" s="4"/>
      <c r="O1069" s="86"/>
    </row>
    <row r="1070" spans="1:15" ht="20.25" customHeight="1">
      <c r="A1070" s="106"/>
      <c r="B1070" s="4"/>
      <c r="C1070" s="4"/>
      <c r="D1070" s="4"/>
      <c r="E1070" s="1"/>
      <c r="F1070" s="1"/>
      <c r="G1070" s="1"/>
      <c r="H1070" s="1"/>
      <c r="I1070" s="1"/>
      <c r="J1070" s="1"/>
      <c r="K1070" s="1"/>
      <c r="L1070" s="1"/>
      <c r="M1070" s="1"/>
      <c r="N1070" s="4"/>
      <c r="O1070" s="86"/>
    </row>
    <row r="1071" spans="1:15" ht="20.25" customHeight="1">
      <c r="A1071" s="106"/>
      <c r="B1071" s="4"/>
      <c r="C1071" s="4"/>
      <c r="D1071" s="107" t="s">
        <v>459</v>
      </c>
      <c r="E1071" s="1"/>
      <c r="F1071" s="1"/>
      <c r="G1071" s="1"/>
      <c r="H1071" s="1"/>
      <c r="I1071" s="1"/>
      <c r="J1071" s="1"/>
      <c r="K1071" s="1"/>
      <c r="L1071" s="1"/>
      <c r="M1071" s="1"/>
      <c r="N1071" s="4"/>
      <c r="O1071" s="86"/>
    </row>
    <row r="1072" spans="1:15" ht="20.25" customHeight="1">
      <c r="A1072" s="106"/>
      <c r="B1072" s="4"/>
      <c r="C1072" s="6"/>
      <c r="D1072" s="408" t="s">
        <v>375</v>
      </c>
      <c r="E1072" s="409" t="s">
        <v>460</v>
      </c>
      <c r="F1072" s="410"/>
      <c r="G1072" s="387" t="s">
        <v>381</v>
      </c>
      <c r="H1072" s="387"/>
      <c r="I1072" s="400"/>
      <c r="J1072" s="409" t="s">
        <v>461</v>
      </c>
      <c r="K1072" s="410"/>
      <c r="L1072" s="387"/>
      <c r="M1072" s="411"/>
      <c r="N1072" s="4"/>
      <c r="O1072" s="86"/>
    </row>
    <row r="1073" spans="1:15" ht="20.25" customHeight="1">
      <c r="A1073" s="106"/>
      <c r="B1073" s="4"/>
      <c r="C1073" s="78"/>
      <c r="D1073" s="341" t="s">
        <v>379</v>
      </c>
      <c r="E1073" s="380" t="s">
        <v>462</v>
      </c>
      <c r="F1073" s="381"/>
      <c r="G1073" s="382" t="s">
        <v>463</v>
      </c>
      <c r="H1073" s="382" t="s">
        <v>386</v>
      </c>
      <c r="I1073" s="383"/>
      <c r="J1073" s="380" t="s">
        <v>464</v>
      </c>
      <c r="K1073" s="381"/>
      <c r="L1073" s="382" t="s">
        <v>387</v>
      </c>
      <c r="M1073" s="385" t="s">
        <v>36</v>
      </c>
      <c r="N1073" s="4"/>
      <c r="O1073" s="86"/>
    </row>
    <row r="1074" spans="1:15" ht="20.25" customHeight="1">
      <c r="A1074" s="106"/>
      <c r="B1074" s="4"/>
      <c r="C1074" s="78"/>
      <c r="D1074" s="348"/>
      <c r="E1074" s="412" t="s">
        <v>465</v>
      </c>
      <c r="F1074" s="381"/>
      <c r="G1074" s="382" t="s">
        <v>389</v>
      </c>
      <c r="H1074" s="382" t="s">
        <v>390</v>
      </c>
      <c r="I1074" s="382" t="s">
        <v>36</v>
      </c>
      <c r="J1074" s="386" t="s">
        <v>466</v>
      </c>
      <c r="K1074" s="381"/>
      <c r="L1074" s="382" t="s">
        <v>391</v>
      </c>
      <c r="M1074" s="384"/>
      <c r="N1074" s="4"/>
      <c r="O1074" s="86"/>
    </row>
    <row r="1075" spans="1:15" ht="20.25" customHeight="1">
      <c r="A1075" s="106"/>
      <c r="B1075" s="4"/>
      <c r="C1075" s="413"/>
      <c r="D1075" s="414"/>
      <c r="E1075" s="415" t="s">
        <v>392</v>
      </c>
      <c r="F1075" s="387" t="s">
        <v>393</v>
      </c>
      <c r="G1075" s="382" t="s">
        <v>394</v>
      </c>
      <c r="H1075" s="383" t="s">
        <v>395</v>
      </c>
      <c r="I1075" s="382" t="s">
        <v>396</v>
      </c>
      <c r="J1075" s="387" t="s">
        <v>392</v>
      </c>
      <c r="K1075" s="387" t="s">
        <v>393</v>
      </c>
      <c r="L1075" s="382" t="s">
        <v>397</v>
      </c>
      <c r="M1075" s="385" t="s">
        <v>396</v>
      </c>
      <c r="N1075" s="4"/>
      <c r="O1075" s="86"/>
    </row>
    <row r="1076" spans="1:15" ht="20.25" customHeight="1">
      <c r="A1076" s="106"/>
      <c r="B1076" s="4"/>
      <c r="C1076" s="6"/>
      <c r="D1076" s="396" t="s">
        <v>467</v>
      </c>
      <c r="E1076" s="382" t="s">
        <v>398</v>
      </c>
      <c r="F1076" s="382" t="s">
        <v>399</v>
      </c>
      <c r="G1076" s="382" t="s">
        <v>456</v>
      </c>
      <c r="H1076" s="382" t="s">
        <v>401</v>
      </c>
      <c r="I1076" s="383" t="s">
        <v>402</v>
      </c>
      <c r="J1076" s="382" t="s">
        <v>398</v>
      </c>
      <c r="K1076" s="382" t="s">
        <v>399</v>
      </c>
      <c r="L1076" s="382" t="s">
        <v>403</v>
      </c>
      <c r="M1076" s="384" t="s">
        <v>404</v>
      </c>
      <c r="N1076" s="4"/>
      <c r="O1076" s="4"/>
    </row>
    <row r="1077" spans="1:15" ht="20.25" customHeight="1">
      <c r="A1077" s="106">
        <v>1077</v>
      </c>
      <c r="B1077" s="4"/>
      <c r="C1077" s="43" t="s">
        <v>468</v>
      </c>
      <c r="D1077" s="43" t="s">
        <v>469</v>
      </c>
      <c r="E1077" s="10"/>
      <c r="F1077" s="10"/>
      <c r="G1077" s="12"/>
      <c r="H1077" s="10"/>
      <c r="I1077" s="43">
        <f>ROUND(E1077+F1077+H1077,0)</f>
        <v>0</v>
      </c>
      <c r="J1077" s="10"/>
      <c r="K1077" s="10"/>
      <c r="L1077" s="12"/>
      <c r="M1077" s="43">
        <f>ROUND(SUM(J1077:K1077),0)</f>
        <v>0</v>
      </c>
      <c r="N1077" s="4"/>
      <c r="O1077" s="4"/>
    </row>
    <row r="1078" spans="1:15" ht="20.25" customHeight="1">
      <c r="A1078" s="106">
        <v>1078</v>
      </c>
      <c r="B1078" s="4"/>
      <c r="C1078" s="43" t="s">
        <v>470</v>
      </c>
      <c r="D1078" s="43" t="s">
        <v>471</v>
      </c>
      <c r="E1078" s="10"/>
      <c r="F1078" s="10"/>
      <c r="G1078" s="10"/>
      <c r="H1078" s="10"/>
      <c r="I1078" s="43">
        <f t="shared" ref="I1078:I1083" si="95">ROUND(SUM(E1078:H1078),0)</f>
        <v>0</v>
      </c>
      <c r="J1078" s="10"/>
      <c r="K1078" s="10"/>
      <c r="L1078" s="10"/>
      <c r="M1078" s="43">
        <f>ROUND(SUM(J1078:L1078),0)</f>
        <v>0</v>
      </c>
      <c r="N1078" s="358"/>
      <c r="O1078" s="4"/>
    </row>
    <row r="1079" spans="1:15" ht="20.25" customHeight="1">
      <c r="A1079" s="106">
        <v>1079</v>
      </c>
      <c r="B1079" s="4"/>
      <c r="C1079" s="43" t="s">
        <v>472</v>
      </c>
      <c r="D1079" s="43" t="s">
        <v>473</v>
      </c>
      <c r="E1079" s="10"/>
      <c r="F1079" s="10"/>
      <c r="G1079" s="10"/>
      <c r="H1079" s="10"/>
      <c r="I1079" s="43">
        <f t="shared" si="95"/>
        <v>0</v>
      </c>
      <c r="J1079" s="10"/>
      <c r="K1079" s="10"/>
      <c r="L1079" s="10"/>
      <c r="M1079" s="43">
        <f>ROUND(SUM(J1079:L1079),0)</f>
        <v>0</v>
      </c>
      <c r="N1079" s="4"/>
      <c r="O1079" s="4"/>
    </row>
    <row r="1080" spans="1:15" ht="20.25" customHeight="1">
      <c r="A1080" s="106">
        <v>1080</v>
      </c>
      <c r="B1080" s="331"/>
      <c r="C1080" s="43" t="s">
        <v>474</v>
      </c>
      <c r="D1080" s="43" t="s">
        <v>475</v>
      </c>
      <c r="E1080" s="12"/>
      <c r="F1080" s="12"/>
      <c r="G1080" s="10"/>
      <c r="H1080" s="10"/>
      <c r="I1080" s="43">
        <f t="shared" si="95"/>
        <v>0</v>
      </c>
      <c r="J1080" s="12"/>
      <c r="K1080" s="12"/>
      <c r="L1080" s="10"/>
      <c r="M1080" s="43">
        <f>ROUND(L1080,0)</f>
        <v>0</v>
      </c>
      <c r="N1080" s="4"/>
      <c r="O1080" s="4"/>
    </row>
    <row r="1081" spans="1:15" ht="20.25" customHeight="1">
      <c r="A1081" s="106">
        <v>1081</v>
      </c>
      <c r="B1081"/>
      <c r="C1081" s="392" t="s">
        <v>476</v>
      </c>
      <c r="D1081" s="43" t="s">
        <v>477</v>
      </c>
      <c r="E1081" s="10"/>
      <c r="F1081" s="10"/>
      <c r="G1081" s="12"/>
      <c r="H1081" s="10"/>
      <c r="I1081" s="43">
        <f t="shared" si="95"/>
        <v>0</v>
      </c>
      <c r="J1081" s="10"/>
      <c r="K1081" s="10"/>
      <c r="L1081" s="12"/>
      <c r="M1081" s="43">
        <f>ROUND(SUM(J1081:K1081),0)</f>
        <v>0</v>
      </c>
      <c r="N1081" s="4"/>
      <c r="O1081" s="4"/>
    </row>
    <row r="1082" spans="1:15" ht="20.25" customHeight="1">
      <c r="A1082" s="106">
        <v>1082</v>
      </c>
      <c r="B1082"/>
      <c r="C1082" s="416" t="s">
        <v>478</v>
      </c>
      <c r="D1082" s="87" t="s">
        <v>479</v>
      </c>
      <c r="E1082" s="15"/>
      <c r="F1082" s="15"/>
      <c r="G1082" s="417"/>
      <c r="H1082" s="15"/>
      <c r="I1082" s="87">
        <f t="shared" si="95"/>
        <v>0</v>
      </c>
      <c r="J1082" s="15"/>
      <c r="K1082" s="15"/>
      <c r="L1082" s="417"/>
      <c r="M1082" s="87">
        <f>ROUND(SUM(J1082:K1082),0)</f>
        <v>0</v>
      </c>
      <c r="N1082" s="4"/>
      <c r="O1082" s="4"/>
    </row>
    <row r="1083" spans="1:15" ht="20.25" customHeight="1">
      <c r="A1083" s="106">
        <v>1083</v>
      </c>
      <c r="B1083" s="3"/>
      <c r="C1083" s="328" t="s">
        <v>480</v>
      </c>
      <c r="D1083" s="59" t="s">
        <v>481</v>
      </c>
      <c r="E1083" s="8"/>
      <c r="F1083" s="8"/>
      <c r="G1083" s="57"/>
      <c r="H1083" s="8"/>
      <c r="I1083" s="418">
        <f t="shared" si="95"/>
        <v>0</v>
      </c>
      <c r="J1083" s="8"/>
      <c r="K1083" s="8"/>
      <c r="L1083" s="57"/>
      <c r="M1083" s="419">
        <f>ROUND(SUM(J1083:K1083),0)</f>
        <v>0</v>
      </c>
      <c r="N1083" s="4"/>
      <c r="O1083" s="4"/>
    </row>
    <row r="1084" spans="1:15" ht="20.25" customHeight="1">
      <c r="A1084" s="106" t="s">
        <v>100</v>
      </c>
      <c r="B1084" s="331"/>
      <c r="C1084" s="14"/>
      <c r="D1084" s="14"/>
      <c r="E1084" s="14"/>
      <c r="F1084" s="14"/>
      <c r="G1084" s="14"/>
      <c r="H1084" s="14"/>
      <c r="I1084" s="14"/>
      <c r="J1084" s="14"/>
      <c r="K1084" s="14"/>
      <c r="L1084" s="14"/>
      <c r="M1084" s="14"/>
      <c r="N1084" s="4"/>
      <c r="O1084" s="4"/>
    </row>
    <row r="1085" spans="1:15" ht="20.25" customHeight="1">
      <c r="A1085" s="106">
        <v>1085</v>
      </c>
      <c r="B1085" s="4"/>
      <c r="C1085" s="6" t="s">
        <v>482</v>
      </c>
      <c r="D1085" s="284" t="s">
        <v>483</v>
      </c>
      <c r="E1085" s="6">
        <f>ROUND(E1039+E1050+E1058+E1059+E1067+E1068+SUM(E1077:E1083),0)</f>
        <v>724845</v>
      </c>
      <c r="F1085" s="6">
        <v>401402</v>
      </c>
      <c r="G1085" s="6">
        <f>ROUND(G1039+G1058+G1059+G1067+G1068+SUM(G1078:G1080),0)</f>
        <v>192680</v>
      </c>
      <c r="H1085" s="6">
        <f>ROUND(H1039+H1050+H1058+H1059+H1067+H1068+SUM(H1077:H1083),0)</f>
        <v>0</v>
      </c>
      <c r="I1085" s="6">
        <f>ROUND(I1039+I1050+I1058+I1059+I1067+I1068+SUM(I1077:I1083),0)</f>
        <v>1284608</v>
      </c>
      <c r="J1085" s="6">
        <f>ROUND(J1039+J1050+J1058+J1059+J1067+J1068+SUM(J1077:J1083),0)</f>
        <v>747</v>
      </c>
      <c r="K1085" s="6">
        <f>ROUND(K1039+K1050+K1058+K1059+K1067+K1068+SUM(K1077:K1083),0)</f>
        <v>43</v>
      </c>
      <c r="L1085" s="6">
        <f>ROUND(L1039+L1058+L1059+L1067+L1068+SUM(L1078:L1080),0)</f>
        <v>198</v>
      </c>
      <c r="M1085" s="6">
        <f>SUM(J1085:L1085)</f>
        <v>988</v>
      </c>
      <c r="N1085" s="675" t="str">
        <f>IF(edits!A810=1,"SCH 1 / SCH 7 MISMATCH - SEE EDITS"," ")</f>
        <v xml:space="preserve"> </v>
      </c>
      <c r="O1085" s="4"/>
    </row>
    <row r="1086" spans="1:15" ht="37.5" customHeight="1">
      <c r="A1086" s="106" t="s">
        <v>100</v>
      </c>
      <c r="B1086" s="4"/>
      <c r="C1086" s="420" t="s">
        <v>484</v>
      </c>
      <c r="D1086" s="420"/>
      <c r="E1086" s="286"/>
      <c r="F1086" s="286"/>
      <c r="G1086" s="420" t="s">
        <v>485</v>
      </c>
      <c r="H1086" s="286"/>
      <c r="I1086" s="286"/>
      <c r="J1086" s="286"/>
      <c r="K1086" s="286"/>
      <c r="L1086" s="420" t="s">
        <v>368</v>
      </c>
      <c r="M1086" s="286"/>
      <c r="N1086" s="4"/>
      <c r="O1086" s="4"/>
    </row>
    <row r="1087" spans="1:15" ht="20.25" customHeight="1">
      <c r="A1087" s="106">
        <v>1087</v>
      </c>
      <c r="B1087" s="4"/>
      <c r="C1087" s="43" t="s">
        <v>486</v>
      </c>
      <c r="D1087" s="421" t="s">
        <v>487</v>
      </c>
      <c r="E1087" s="417"/>
      <c r="F1087" s="417"/>
      <c r="G1087" s="15"/>
      <c r="H1087" s="417"/>
      <c r="I1087" s="87">
        <f>ROUND(G1087,0)</f>
        <v>0</v>
      </c>
      <c r="J1087" s="57"/>
      <c r="K1087" s="57"/>
      <c r="L1087" s="57"/>
      <c r="M1087" s="57"/>
      <c r="N1087" s="4"/>
      <c r="O1087" s="4" t="str">
        <f>PROPER(D1087)</f>
        <v>Public Transportation Assessment</v>
      </c>
    </row>
    <row r="1088" spans="1:15" ht="20.25" customHeight="1">
      <c r="A1088" s="106">
        <v>1088</v>
      </c>
      <c r="B1088" s="4"/>
      <c r="C1088" s="422">
        <v>4320</v>
      </c>
      <c r="D1088" s="60" t="s">
        <v>488</v>
      </c>
      <c r="E1088" s="57"/>
      <c r="F1088" s="57"/>
      <c r="G1088" s="8"/>
      <c r="H1088" s="57"/>
      <c r="I1088" s="59">
        <f>ROUND(G1088,0)</f>
        <v>0</v>
      </c>
      <c r="J1088" s="57"/>
      <c r="K1088" s="57"/>
      <c r="L1088" s="103"/>
      <c r="M1088" s="110">
        <f>ROUND(L1088,0)</f>
        <v>0</v>
      </c>
      <c r="N1088" s="4"/>
      <c r="O1088" s="4" t="str">
        <f>PROPER(D1088)</f>
        <v>Payments From Revolving And Special Funds</v>
      </c>
    </row>
    <row r="1089" spans="1:15" ht="20.25" customHeight="1">
      <c r="A1089" s="106"/>
      <c r="B1089" s="4"/>
      <c r="C1089" s="315"/>
      <c r="D1089" s="4"/>
      <c r="E1089" s="18"/>
      <c r="F1089" s="18"/>
      <c r="G1089" s="18"/>
      <c r="H1089" s="18"/>
      <c r="I1089" s="18"/>
      <c r="J1089" s="18"/>
      <c r="K1089" s="18"/>
      <c r="L1089" s="4"/>
      <c r="M1089" s="4"/>
      <c r="N1089" s="4"/>
      <c r="O1089" s="331"/>
    </row>
    <row r="1090" spans="1:15" ht="20.25" customHeight="1">
      <c r="A1090" s="106"/>
      <c r="B1090" s="4"/>
      <c r="C1090" s="4"/>
      <c r="D1090" s="13"/>
      <c r="E1090" s="423"/>
      <c r="F1090" s="423"/>
      <c r="G1090" s="423"/>
      <c r="H1090" s="423"/>
      <c r="I1090" s="423"/>
      <c r="J1090" s="423"/>
      <c r="K1090" s="423"/>
      <c r="L1090" s="423"/>
      <c r="M1090" s="4"/>
      <c r="N1090" s="4"/>
      <c r="O1090" s="4"/>
    </row>
    <row r="1091" spans="1:15" ht="20.25" customHeight="1">
      <c r="A1091" s="106"/>
      <c r="B1091" s="4"/>
      <c r="C1091" s="4"/>
      <c r="D1091" s="13"/>
      <c r="E1091" s="423"/>
      <c r="F1091" s="423"/>
      <c r="G1091" s="423"/>
      <c r="H1091" s="80"/>
      <c r="I1091" s="423"/>
      <c r="J1091" s="423"/>
      <c r="K1091" s="423"/>
      <c r="L1091" s="423"/>
      <c r="M1091" s="4"/>
      <c r="N1091" s="4"/>
      <c r="O1091" s="4"/>
    </row>
    <row r="1092" spans="1:15" ht="20.25" customHeight="1">
      <c r="A1092" s="106"/>
      <c r="B1092" s="4"/>
      <c r="C1092" s="4"/>
      <c r="D1092" s="4"/>
      <c r="E1092" s="4"/>
      <c r="F1092" s="4"/>
      <c r="G1092" s="4"/>
      <c r="H1092" s="4"/>
      <c r="I1092" s="4"/>
      <c r="J1092" s="4"/>
      <c r="K1092" s="4"/>
      <c r="L1092" s="4"/>
      <c r="M1092" s="4"/>
      <c r="N1092" s="4"/>
      <c r="O1092" s="4"/>
    </row>
    <row r="1093" spans="1:15" ht="20.25" customHeight="1">
      <c r="A1093" s="106"/>
      <c r="B1093" s="4"/>
      <c r="C1093" s="106"/>
      <c r="D1093" s="341" t="s">
        <v>489</v>
      </c>
      <c r="E1093" s="684" t="s">
        <v>19</v>
      </c>
      <c r="F1093" s="684" t="s">
        <v>20</v>
      </c>
      <c r="G1093" s="684">
        <v>3</v>
      </c>
      <c r="H1093" s="684">
        <v>4</v>
      </c>
      <c r="I1093" s="684">
        <v>5</v>
      </c>
      <c r="J1093" s="685">
        <v>6</v>
      </c>
      <c r="K1093" s="424"/>
      <c r="L1093"/>
      <c r="M1093"/>
      <c r="N1093" s="4"/>
    </row>
    <row r="1094" spans="1:15" ht="20.25" customHeight="1">
      <c r="A1094" s="106"/>
      <c r="B1094" s="4"/>
      <c r="C1094" s="106"/>
      <c r="D1094" s="107"/>
      <c r="E1094" s="686"/>
      <c r="F1094" s="686"/>
      <c r="G1094" s="684"/>
      <c r="H1094" s="660" t="s">
        <v>22</v>
      </c>
      <c r="I1094" s="686"/>
      <c r="J1094" s="687"/>
      <c r="K1094" s="424"/>
      <c r="L1094"/>
      <c r="M1094"/>
      <c r="N1094" s="4"/>
    </row>
    <row r="1095" spans="1:15" ht="20.25" customHeight="1">
      <c r="A1095" s="106"/>
      <c r="B1095" s="4"/>
      <c r="C1095" s="106"/>
      <c r="D1095" s="107" t="s">
        <v>490</v>
      </c>
      <c r="E1095" s="688"/>
      <c r="F1095" s="688"/>
      <c r="G1095" s="689" t="s">
        <v>23</v>
      </c>
      <c r="H1095" s="659" t="s">
        <v>24</v>
      </c>
      <c r="I1095" s="688"/>
      <c r="J1095" s="690"/>
      <c r="K1095" s="424"/>
      <c r="L1095"/>
      <c r="M1095"/>
      <c r="N1095" s="4"/>
    </row>
    <row r="1096" spans="1:15" ht="20.25" customHeight="1">
      <c r="A1096" s="106"/>
      <c r="B1096" s="4"/>
      <c r="C1096" s="106"/>
      <c r="D1096" s="425" t="s">
        <v>491</v>
      </c>
      <c r="E1096" s="688" t="s">
        <v>25</v>
      </c>
      <c r="F1096" s="688" t="s">
        <v>26</v>
      </c>
      <c r="G1096" s="688" t="s">
        <v>27</v>
      </c>
      <c r="H1096" s="659" t="s">
        <v>28</v>
      </c>
      <c r="I1096" s="688" t="s">
        <v>29</v>
      </c>
      <c r="J1096" s="690"/>
      <c r="K1096" s="424"/>
      <c r="L1096"/>
      <c r="M1096"/>
      <c r="N1096" s="4"/>
    </row>
    <row r="1097" spans="1:15" ht="20.25" customHeight="1">
      <c r="A1097" s="106"/>
      <c r="B1097" s="4"/>
      <c r="C1097" s="106"/>
      <c r="D1097"/>
      <c r="E1097" s="691" t="s">
        <v>31</v>
      </c>
      <c r="F1097" s="691" t="s">
        <v>32</v>
      </c>
      <c r="G1097" s="691" t="s">
        <v>33</v>
      </c>
      <c r="H1097" s="661" t="s">
        <v>34</v>
      </c>
      <c r="I1097" s="691" t="s">
        <v>35</v>
      </c>
      <c r="J1097" s="691" t="s">
        <v>36</v>
      </c>
      <c r="K1097" s="424"/>
      <c r="L1097"/>
      <c r="M1097"/>
      <c r="N1097" s="4"/>
    </row>
    <row r="1098" spans="1:15" ht="20.25" customHeight="1">
      <c r="A1098" s="106"/>
      <c r="B1098" s="4"/>
      <c r="C1098" s="14"/>
      <c r="D1098" s="13" t="s">
        <v>492</v>
      </c>
      <c r="E1098" s="14"/>
      <c r="F1098" s="14"/>
      <c r="G1098" s="14"/>
      <c r="H1098" s="14"/>
      <c r="I1098" s="14"/>
      <c r="J1098" s="14"/>
      <c r="K1098" s="4"/>
      <c r="L1098"/>
      <c r="M1098"/>
      <c r="N1098" s="4"/>
    </row>
    <row r="1099" spans="1:15" ht="20.25" customHeight="1">
      <c r="A1099" s="106">
        <v>1099</v>
      </c>
      <c r="B1099" s="4"/>
      <c r="C1099" s="280">
        <v>7010</v>
      </c>
      <c r="D1099" s="6" t="s">
        <v>493</v>
      </c>
      <c r="E1099" s="11"/>
      <c r="F1099" s="11"/>
      <c r="G1099" s="11"/>
      <c r="H1099" s="11"/>
      <c r="I1099" s="7">
        <f>684693+252748</f>
        <v>937441</v>
      </c>
      <c r="J1099" s="87">
        <f>ROUND(I1099,0)</f>
        <v>937441</v>
      </c>
      <c r="K1099" s="78"/>
      <c r="L1099"/>
      <c r="M1099"/>
      <c r="N1099" s="4"/>
    </row>
    <row r="1100" spans="1:15" ht="20.25" customHeight="1">
      <c r="A1100" s="106">
        <v>1100</v>
      </c>
      <c r="B1100" s="4"/>
      <c r="C1100" s="280">
        <v>7030</v>
      </c>
      <c r="D1100" s="6" t="s">
        <v>494</v>
      </c>
      <c r="E1100" s="7">
        <f>(14798395+686507)-4562051</f>
        <v>10922851</v>
      </c>
      <c r="F1100" s="7">
        <f>1376893+52500+768533+1979158+65166+146500+49058+114000+4836+2924+614+1869-55690</f>
        <v>4506361</v>
      </c>
      <c r="G1100" s="7"/>
      <c r="H1100" s="7"/>
      <c r="I1100" s="7"/>
      <c r="J1100" s="87">
        <f>ROUND(SUM(E1100:I1100),0)</f>
        <v>15429212</v>
      </c>
      <c r="K1100" s="78"/>
      <c r="L1100"/>
      <c r="M1100"/>
      <c r="N1100" s="4"/>
    </row>
    <row r="1101" spans="1:15" ht="20.25" customHeight="1">
      <c r="A1101" s="106">
        <v>1101</v>
      </c>
      <c r="B1101" s="4"/>
      <c r="C1101" s="280">
        <v>7040</v>
      </c>
      <c r="D1101" s="6" t="s">
        <v>495</v>
      </c>
      <c r="E1101" s="11"/>
      <c r="F1101" s="11"/>
      <c r="G1101" s="11"/>
      <c r="H1101" s="11"/>
      <c r="I1101" s="7">
        <f>272275+12735</f>
        <v>285010</v>
      </c>
      <c r="J1101" s="87">
        <f>ROUND(I1101,0)</f>
        <v>285010</v>
      </c>
      <c r="K1101" s="78"/>
      <c r="L1101"/>
      <c r="M1101"/>
      <c r="N1101" s="4"/>
    </row>
    <row r="1102" spans="1:15" ht="20.25" customHeight="1">
      <c r="A1102" s="106">
        <v>1102</v>
      </c>
      <c r="B1102" s="4"/>
      <c r="C1102" s="426">
        <v>7050</v>
      </c>
      <c r="D1102" s="283" t="s">
        <v>186</v>
      </c>
      <c r="E1102" s="7">
        <v>907200</v>
      </c>
      <c r="F1102" s="7">
        <v>445328</v>
      </c>
      <c r="G1102" s="7"/>
      <c r="H1102" s="7"/>
      <c r="I1102" s="11"/>
      <c r="J1102" s="87">
        <f>ROUND(SUM(E1102:H1102),0)</f>
        <v>1352528</v>
      </c>
      <c r="K1102" s="78"/>
      <c r="L1102"/>
      <c r="M1102"/>
      <c r="N1102" s="4"/>
    </row>
    <row r="1103" spans="1:15" ht="20.25" customHeight="1">
      <c r="A1103" s="106">
        <v>1103</v>
      </c>
      <c r="B1103" s="4"/>
      <c r="C1103" s="280">
        <v>7060</v>
      </c>
      <c r="D1103" s="6" t="s">
        <v>496</v>
      </c>
      <c r="E1103" s="11"/>
      <c r="F1103" s="11"/>
      <c r="G1103" s="11"/>
      <c r="H1103" s="11"/>
      <c r="I1103" s="7"/>
      <c r="J1103" s="87">
        <f t="shared" ref="J1103:J1117" si="96">ROUND(I1103,0)</f>
        <v>0</v>
      </c>
      <c r="K1103" s="78"/>
      <c r="L1103"/>
      <c r="M1103"/>
      <c r="N1103" s="4"/>
    </row>
    <row r="1104" spans="1:15" ht="20.25" customHeight="1">
      <c r="A1104" s="106">
        <v>1104</v>
      </c>
      <c r="B1104" s="4"/>
      <c r="C1104" s="280">
        <v>7070</v>
      </c>
      <c r="D1104" s="6" t="s">
        <v>497</v>
      </c>
      <c r="E1104" s="11"/>
      <c r="F1104" s="11"/>
      <c r="G1104" s="11"/>
      <c r="H1104" s="11"/>
      <c r="I1104" s="7">
        <v>260280</v>
      </c>
      <c r="J1104" s="87">
        <f t="shared" si="96"/>
        <v>260280</v>
      </c>
      <c r="K1104" s="78"/>
      <c r="L1104"/>
      <c r="M1104"/>
      <c r="N1104" s="4"/>
    </row>
    <row r="1105" spans="1:14" ht="20.25" customHeight="1">
      <c r="A1105" s="106">
        <v>1105</v>
      </c>
      <c r="B1105" s="4"/>
      <c r="C1105" s="368">
        <v>7075</v>
      </c>
      <c r="D1105" s="6" t="s">
        <v>136</v>
      </c>
      <c r="E1105" s="11"/>
      <c r="F1105" s="11"/>
      <c r="G1105" s="11"/>
      <c r="H1105" s="11"/>
      <c r="I1105" s="7"/>
      <c r="J1105" s="87">
        <f t="shared" si="96"/>
        <v>0</v>
      </c>
      <c r="K1105" s="78"/>
      <c r="L1105"/>
      <c r="M1105"/>
      <c r="N1105" s="4"/>
    </row>
    <row r="1106" spans="1:14" ht="20.25" customHeight="1">
      <c r="A1106" s="106">
        <v>1106</v>
      </c>
      <c r="B1106" s="4"/>
      <c r="C1106" s="280">
        <v>7080</v>
      </c>
      <c r="D1106" s="6" t="s">
        <v>498</v>
      </c>
      <c r="E1106" s="11"/>
      <c r="F1106" s="11"/>
      <c r="G1106" s="11"/>
      <c r="H1106" s="11"/>
      <c r="I1106" s="7">
        <f>951566+888928</f>
        <v>1840494</v>
      </c>
      <c r="J1106" s="87">
        <f t="shared" si="96"/>
        <v>1840494</v>
      </c>
      <c r="K1106" s="78"/>
      <c r="L1106"/>
      <c r="M1106"/>
      <c r="N1106" s="4"/>
    </row>
    <row r="1107" spans="1:14" ht="20.25" customHeight="1">
      <c r="A1107" s="106">
        <v>1107</v>
      </c>
      <c r="B1107" s="4"/>
      <c r="C1107" s="280">
        <v>7090</v>
      </c>
      <c r="D1107" s="6" t="s">
        <v>499</v>
      </c>
      <c r="E1107" s="11"/>
      <c r="F1107" s="11"/>
      <c r="G1107" s="11"/>
      <c r="H1107" s="11"/>
      <c r="I1107" s="7">
        <v>24042</v>
      </c>
      <c r="J1107" s="87">
        <f t="shared" si="96"/>
        <v>24042</v>
      </c>
      <c r="K1107" s="78"/>
      <c r="L1107"/>
      <c r="M1107"/>
      <c r="N1107" s="4"/>
    </row>
    <row r="1108" spans="1:14" ht="20.25" customHeight="1">
      <c r="A1108" s="106">
        <v>1108</v>
      </c>
      <c r="B1108" s="4"/>
      <c r="C1108" s="280">
        <v>7100</v>
      </c>
      <c r="D1108" s="6" t="s">
        <v>147</v>
      </c>
      <c r="E1108" s="11"/>
      <c r="F1108" s="11"/>
      <c r="G1108" s="11"/>
      <c r="H1108" s="11"/>
      <c r="I1108" s="7"/>
      <c r="J1108" s="87">
        <f t="shared" si="96"/>
        <v>0</v>
      </c>
      <c r="K1108" s="78"/>
      <c r="L1108"/>
      <c r="M1108"/>
      <c r="N1108" s="4"/>
    </row>
    <row r="1109" spans="1:14" ht="20.25" customHeight="1">
      <c r="A1109" s="106">
        <v>1109</v>
      </c>
      <c r="B1109"/>
      <c r="C1109" s="280">
        <v>7105</v>
      </c>
      <c r="D1109" s="6" t="s">
        <v>148</v>
      </c>
      <c r="E1109" s="11"/>
      <c r="F1109" s="11"/>
      <c r="G1109" s="11"/>
      <c r="H1109" s="11"/>
      <c r="I1109" s="7"/>
      <c r="J1109" s="87">
        <f t="shared" si="96"/>
        <v>0</v>
      </c>
      <c r="K1109" s="78"/>
      <c r="L1109"/>
      <c r="M1109"/>
      <c r="N1109" s="4"/>
    </row>
    <row r="1110" spans="1:14" ht="20.25" customHeight="1">
      <c r="A1110" s="106">
        <v>1110</v>
      </c>
      <c r="B1110"/>
      <c r="C1110" s="427">
        <v>7110</v>
      </c>
      <c r="D1110" s="6" t="s">
        <v>150</v>
      </c>
      <c r="E1110" s="11"/>
      <c r="F1110" s="11"/>
      <c r="G1110" s="11"/>
      <c r="H1110" s="11"/>
      <c r="I1110" s="7">
        <f>3160838-50000</f>
        <v>3110838</v>
      </c>
      <c r="J1110" s="87">
        <f t="shared" si="96"/>
        <v>3110838</v>
      </c>
      <c r="K1110" s="78"/>
      <c r="L1110"/>
      <c r="M1110"/>
      <c r="N1110" s="4"/>
    </row>
    <row r="1111" spans="1:14" ht="20.25" customHeight="1">
      <c r="A1111" s="106">
        <v>1111</v>
      </c>
      <c r="B1111" s="4"/>
      <c r="C1111" s="280">
        <v>7120</v>
      </c>
      <c r="D1111" s="6" t="s">
        <v>500</v>
      </c>
      <c r="E1111" s="11"/>
      <c r="F1111" s="11"/>
      <c r="G1111" s="11"/>
      <c r="H1111" s="11"/>
      <c r="I1111" s="7"/>
      <c r="J1111" s="87">
        <f t="shared" si="96"/>
        <v>0</v>
      </c>
      <c r="K1111" s="78"/>
      <c r="L1111"/>
      <c r="M1111"/>
      <c r="N1111" s="4"/>
    </row>
    <row r="1112" spans="1:14" ht="20.25" customHeight="1">
      <c r="A1112" s="106">
        <v>1112</v>
      </c>
      <c r="B1112" s="4"/>
      <c r="C1112" s="280">
        <v>7130</v>
      </c>
      <c r="D1112" s="6" t="s">
        <v>152</v>
      </c>
      <c r="E1112" s="11"/>
      <c r="F1112" s="11"/>
      <c r="G1112" s="11"/>
      <c r="H1112" s="11"/>
      <c r="I1112" s="7"/>
      <c r="J1112" s="87">
        <f t="shared" si="96"/>
        <v>0</v>
      </c>
      <c r="K1112" s="78"/>
      <c r="L1112"/>
      <c r="M1112"/>
      <c r="N1112" s="4"/>
    </row>
    <row r="1113" spans="1:14" ht="20.25" customHeight="1">
      <c r="A1113" s="106">
        <v>1113</v>
      </c>
      <c r="B1113" s="4"/>
      <c r="C1113" s="280">
        <v>7140</v>
      </c>
      <c r="D1113" s="6" t="s">
        <v>501</v>
      </c>
      <c r="E1113" s="11"/>
      <c r="F1113" s="11"/>
      <c r="G1113" s="11"/>
      <c r="H1113" s="11"/>
      <c r="I1113" s="7"/>
      <c r="J1113" s="87">
        <f t="shared" si="96"/>
        <v>0</v>
      </c>
      <c r="K1113" s="78"/>
      <c r="L1113"/>
      <c r="M1113"/>
      <c r="N1113" s="4"/>
    </row>
    <row r="1114" spans="1:14" ht="20.25" customHeight="1">
      <c r="A1114" s="106">
        <v>1114</v>
      </c>
      <c r="B1114" s="4"/>
      <c r="C1114" s="280">
        <v>7150</v>
      </c>
      <c r="D1114" s="6" t="s">
        <v>502</v>
      </c>
      <c r="E1114" s="11"/>
      <c r="F1114" s="11"/>
      <c r="G1114" s="11"/>
      <c r="H1114" s="11"/>
      <c r="I1114" s="7"/>
      <c r="J1114" s="87">
        <f t="shared" si="96"/>
        <v>0</v>
      </c>
      <c r="K1114" s="78"/>
      <c r="L1114"/>
      <c r="M1114"/>
      <c r="N1114" s="4"/>
    </row>
    <row r="1115" spans="1:14" ht="20.25" customHeight="1">
      <c r="A1115" s="106">
        <v>1115</v>
      </c>
      <c r="B1115" s="4"/>
      <c r="C1115" s="426">
        <v>7155</v>
      </c>
      <c r="D1115" s="283" t="s">
        <v>503</v>
      </c>
      <c r="E1115" s="11"/>
      <c r="F1115" s="11"/>
      <c r="G1115" s="11"/>
      <c r="H1115" s="11"/>
      <c r="I1115" s="7"/>
      <c r="J1115" s="87">
        <f t="shared" si="96"/>
        <v>0</v>
      </c>
      <c r="K1115" s="78"/>
      <c r="L1115"/>
      <c r="M1115"/>
      <c r="N1115" s="4"/>
    </row>
    <row r="1116" spans="1:14" ht="20.25" customHeight="1">
      <c r="A1116" s="106">
        <v>1116</v>
      </c>
      <c r="B1116" s="4"/>
      <c r="C1116" s="426">
        <v>7160</v>
      </c>
      <c r="D1116" s="283" t="s">
        <v>158</v>
      </c>
      <c r="E1116" s="11"/>
      <c r="F1116" s="11"/>
      <c r="G1116" s="11"/>
      <c r="H1116" s="11"/>
      <c r="I1116" s="7"/>
      <c r="J1116" s="87">
        <f t="shared" si="96"/>
        <v>0</v>
      </c>
      <c r="K1116" s="78"/>
      <c r="L1116"/>
      <c r="M1116"/>
      <c r="N1116" s="4"/>
    </row>
    <row r="1117" spans="1:14" ht="20.25" customHeight="1">
      <c r="A1117" s="106">
        <v>1117</v>
      </c>
      <c r="B1117" s="326"/>
      <c r="C1117" s="428">
        <v>7165</v>
      </c>
      <c r="D1117" s="283" t="s">
        <v>159</v>
      </c>
      <c r="E1117" s="11"/>
      <c r="F1117" s="11"/>
      <c r="G1117" s="11"/>
      <c r="H1117" s="11"/>
      <c r="I1117" s="7"/>
      <c r="J1117" s="87">
        <f t="shared" si="96"/>
        <v>0</v>
      </c>
      <c r="K1117" s="78"/>
      <c r="L1117"/>
      <c r="M1117"/>
      <c r="N1117" s="4"/>
    </row>
    <row r="1118" spans="1:14" ht="20.25" customHeight="1">
      <c r="A1118" s="106">
        <v>1118</v>
      </c>
      <c r="B1118" s="4"/>
      <c r="C1118" s="426">
        <v>7170</v>
      </c>
      <c r="D1118" s="283" t="s">
        <v>504</v>
      </c>
      <c r="E1118" s="7"/>
      <c r="F1118" s="7"/>
      <c r="G1118" s="7"/>
      <c r="H1118" s="7"/>
      <c r="I1118" s="7"/>
      <c r="J1118" s="87">
        <f>ROUND(SUM(E1118:I1118),0)</f>
        <v>0</v>
      </c>
      <c r="K1118" s="78"/>
      <c r="L1118"/>
      <c r="M1118"/>
      <c r="N1118" s="4"/>
    </row>
    <row r="1119" spans="1:14" ht="20.25" customHeight="1">
      <c r="A1119" s="106">
        <v>1119</v>
      </c>
      <c r="B1119" s="4"/>
      <c r="C1119" s="426">
        <v>7180</v>
      </c>
      <c r="D1119" s="283" t="s">
        <v>505</v>
      </c>
      <c r="E1119" s="7"/>
      <c r="F1119" s="7"/>
      <c r="G1119" s="7"/>
      <c r="H1119" s="7"/>
      <c r="I1119" s="7"/>
      <c r="J1119" s="87">
        <f>ROUND(SUM(E1119:I1119),0)</f>
        <v>0</v>
      </c>
      <c r="K1119" s="78"/>
      <c r="L1119"/>
      <c r="M1119"/>
      <c r="N1119" s="4"/>
    </row>
    <row r="1120" spans="1:14" ht="20.25" customHeight="1">
      <c r="A1120" s="106">
        <v>1120</v>
      </c>
      <c r="B1120" s="4"/>
      <c r="C1120" s="426">
        <v>7190</v>
      </c>
      <c r="D1120" s="283" t="s">
        <v>506</v>
      </c>
      <c r="E1120" s="11"/>
      <c r="F1120" s="11"/>
      <c r="G1120" s="11"/>
      <c r="H1120" s="11"/>
      <c r="I1120" s="7">
        <v>446825</v>
      </c>
      <c r="J1120" s="87">
        <f>ROUND(I1120,0)</f>
        <v>446825</v>
      </c>
      <c r="K1120" s="78"/>
      <c r="L1120"/>
      <c r="M1120"/>
      <c r="N1120" s="4"/>
    </row>
    <row r="1121" spans="1:14" ht="20.25" customHeight="1">
      <c r="A1121" s="106">
        <v>1121</v>
      </c>
      <c r="B1121" s="4"/>
      <c r="C1121" s="426">
        <v>7200</v>
      </c>
      <c r="D1121" s="283" t="s">
        <v>507</v>
      </c>
      <c r="E1121" s="11"/>
      <c r="F1121" s="11"/>
      <c r="G1121" s="11"/>
      <c r="H1121" s="11"/>
      <c r="I1121" s="7"/>
      <c r="J1121" s="87">
        <f>ROUND(I1121,0)</f>
        <v>0</v>
      </c>
      <c r="K1121" s="78"/>
      <c r="L1121"/>
      <c r="M1121"/>
      <c r="N1121" s="4"/>
    </row>
    <row r="1122" spans="1:14" ht="20.25" customHeight="1">
      <c r="A1122" s="106">
        <v>1122</v>
      </c>
      <c r="B1122" s="4"/>
      <c r="C1122" s="426">
        <v>7210</v>
      </c>
      <c r="D1122" s="283" t="s">
        <v>203</v>
      </c>
      <c r="E1122" s="11"/>
      <c r="F1122" s="11"/>
      <c r="G1122" s="11"/>
      <c r="H1122" s="11"/>
      <c r="I1122" s="7"/>
      <c r="J1122" s="87">
        <f>ROUND(I1122,0)</f>
        <v>0</v>
      </c>
      <c r="K1122" s="78"/>
      <c r="L1122"/>
      <c r="M1122"/>
      <c r="N1122" s="4"/>
    </row>
    <row r="1123" spans="1:14" ht="20.25" customHeight="1">
      <c r="A1123" s="106">
        <v>1123</v>
      </c>
      <c r="B1123" s="4"/>
      <c r="C1123" s="426">
        <v>7270</v>
      </c>
      <c r="D1123" s="283" t="s">
        <v>204</v>
      </c>
      <c r="E1123" s="11"/>
      <c r="F1123" s="11"/>
      <c r="G1123" s="11"/>
      <c r="H1123" s="11"/>
      <c r="I1123" s="7"/>
      <c r="J1123" s="87">
        <f>ROUND(I1123,0)</f>
        <v>0</v>
      </c>
      <c r="K1123" s="78"/>
      <c r="L1123"/>
      <c r="M1123"/>
      <c r="N1123" s="4"/>
    </row>
    <row r="1124" spans="1:14" ht="20.25" customHeight="1">
      <c r="A1124" s="106">
        <v>1124</v>
      </c>
      <c r="B1124" s="4"/>
      <c r="C1124" s="280">
        <v>7280</v>
      </c>
      <c r="D1124" s="6" t="s">
        <v>174</v>
      </c>
      <c r="E1124" s="7"/>
      <c r="F1124" s="95">
        <v>0</v>
      </c>
      <c r="G1124" s="7"/>
      <c r="H1124" s="7"/>
      <c r="I1124" s="11" t="s">
        <v>100</v>
      </c>
      <c r="J1124" s="87">
        <f t="shared" ref="J1124:J1131" si="97">ROUND(SUM(E1124:H1124),0)</f>
        <v>0</v>
      </c>
      <c r="K1124" s="78"/>
      <c r="L1124"/>
      <c r="M1124"/>
      <c r="N1124" s="4"/>
    </row>
    <row r="1125" spans="1:14" ht="20.25" customHeight="1">
      <c r="A1125" s="106">
        <v>1125</v>
      </c>
      <c r="B1125" s="4"/>
      <c r="C1125" s="368">
        <v>7285</v>
      </c>
      <c r="D1125" s="6" t="s">
        <v>175</v>
      </c>
      <c r="E1125" s="95">
        <v>0</v>
      </c>
      <c r="F1125" s="95">
        <v>0</v>
      </c>
      <c r="G1125" s="95">
        <v>0</v>
      </c>
      <c r="H1125" s="7"/>
      <c r="I1125" s="11"/>
      <c r="J1125" s="87">
        <f t="shared" si="97"/>
        <v>0</v>
      </c>
      <c r="K1125" s="78"/>
      <c r="L1125"/>
      <c r="M1125"/>
      <c r="N1125" s="4"/>
    </row>
    <row r="1126" spans="1:14" ht="20.25" customHeight="1">
      <c r="A1126" s="106">
        <v>1126</v>
      </c>
      <c r="B1126" s="4"/>
      <c r="C1126" s="368">
        <v>7290</v>
      </c>
      <c r="D1126" s="6" t="s">
        <v>176</v>
      </c>
      <c r="E1126" s="95">
        <v>0</v>
      </c>
      <c r="F1126" s="95">
        <v>0</v>
      </c>
      <c r="G1126" s="95"/>
      <c r="H1126" s="7"/>
      <c r="I1126" s="11"/>
      <c r="J1126" s="87">
        <f t="shared" si="97"/>
        <v>0</v>
      </c>
      <c r="K1126" s="78"/>
      <c r="L1126"/>
      <c r="M1126"/>
      <c r="N1126" s="4"/>
    </row>
    <row r="1127" spans="1:14" ht="20.25" customHeight="1">
      <c r="A1127" s="106">
        <v>1127</v>
      </c>
      <c r="B1127" s="4"/>
      <c r="C1127" s="368">
        <v>7295</v>
      </c>
      <c r="D1127" s="6" t="s">
        <v>177</v>
      </c>
      <c r="E1127" s="7"/>
      <c r="F1127" s="7"/>
      <c r="G1127" s="7"/>
      <c r="H1127" s="7"/>
      <c r="I1127" s="11"/>
      <c r="J1127" s="87">
        <f t="shared" si="97"/>
        <v>0</v>
      </c>
      <c r="K1127" s="78"/>
      <c r="L1127"/>
      <c r="M1127"/>
      <c r="N1127" s="4"/>
    </row>
    <row r="1128" spans="1:14" ht="20.25" customHeight="1">
      <c r="A1128" s="106">
        <v>1128</v>
      </c>
      <c r="B1128" s="4"/>
      <c r="C1128" s="426">
        <v>7296</v>
      </c>
      <c r="D1128" s="283" t="s">
        <v>178</v>
      </c>
      <c r="E1128" s="494"/>
      <c r="F1128" s="11"/>
      <c r="G1128" s="11"/>
      <c r="H1128" s="11"/>
      <c r="I1128" s="95">
        <v>0</v>
      </c>
      <c r="J1128" s="87">
        <f>ROUND(SUM(I1128),0)</f>
        <v>0</v>
      </c>
      <c r="K1128" s="78"/>
      <c r="L1128"/>
      <c r="M1128"/>
      <c r="N1128" s="4"/>
    </row>
    <row r="1129" spans="1:14" ht="20.25" customHeight="1">
      <c r="A1129" s="106">
        <v>1129</v>
      </c>
      <c r="B1129" s="4"/>
      <c r="C1129" s="368">
        <v>7300</v>
      </c>
      <c r="D1129" s="6" t="s">
        <v>179</v>
      </c>
      <c r="E1129" s="7"/>
      <c r="F1129" s="7"/>
      <c r="G1129" s="7"/>
      <c r="H1129" s="7"/>
      <c r="I1129" s="11"/>
      <c r="J1129" s="87">
        <f t="shared" si="97"/>
        <v>0</v>
      </c>
      <c r="K1129" s="78"/>
      <c r="L1129"/>
      <c r="M1129"/>
      <c r="N1129" s="4"/>
    </row>
    <row r="1130" spans="1:14" ht="20.25" customHeight="1">
      <c r="A1130" s="106">
        <v>1130</v>
      </c>
      <c r="B1130" s="4"/>
      <c r="C1130" s="368">
        <v>7305</v>
      </c>
      <c r="D1130" s="6" t="s">
        <v>180</v>
      </c>
      <c r="E1130" s="7"/>
      <c r="F1130" s="7">
        <v>703872</v>
      </c>
      <c r="G1130" s="7"/>
      <c r="H1130" s="7"/>
      <c r="I1130" s="11" t="s">
        <v>100</v>
      </c>
      <c r="J1130" s="87">
        <f t="shared" si="97"/>
        <v>703872</v>
      </c>
      <c r="K1130" s="78"/>
      <c r="L1130"/>
      <c r="M1130"/>
      <c r="N1130" s="4"/>
    </row>
    <row r="1131" spans="1:14" ht="20.25" customHeight="1">
      <c r="A1131" s="106">
        <v>1131</v>
      </c>
      <c r="B1131" s="4"/>
      <c r="C1131" s="368">
        <v>7310</v>
      </c>
      <c r="D1131" s="6" t="s">
        <v>181</v>
      </c>
      <c r="E1131" s="7"/>
      <c r="F1131" s="7">
        <v>460952</v>
      </c>
      <c r="G1131" s="7"/>
      <c r="H1131" s="7"/>
      <c r="I1131" s="11" t="s">
        <v>100</v>
      </c>
      <c r="J1131" s="87">
        <f t="shared" si="97"/>
        <v>460952</v>
      </c>
      <c r="K1131" s="78"/>
      <c r="L1131"/>
      <c r="M1131"/>
      <c r="N1131" s="4"/>
    </row>
    <row r="1132" spans="1:14" ht="20.25" customHeight="1">
      <c r="A1132" s="106">
        <v>1132</v>
      </c>
      <c r="B1132" s="4"/>
      <c r="C1132" s="429">
        <v>7320</v>
      </c>
      <c r="D1132" s="350" t="s">
        <v>508</v>
      </c>
      <c r="E1132" s="351">
        <f>ROUND(E1100+E1102+E1118+E1119+SUM(E1124:E1131),0)</f>
        <v>11830051</v>
      </c>
      <c r="F1132" s="351">
        <f>ROUND(F1100+F1102+F1118+F1119+SUM(F1124:F1131),0)</f>
        <v>6116513</v>
      </c>
      <c r="G1132" s="351">
        <f>ROUND(G1100+G1102+G1118+G1119+SUM(G1124:G1131),0)</f>
        <v>0</v>
      </c>
      <c r="H1132" s="351">
        <f>ROUND(H1100+H1102+H1118+H1119+SUM(H1124:H1131),0)</f>
        <v>0</v>
      </c>
      <c r="I1132" s="43">
        <f>ROUND(SUM(I1099:I1101)+SUM(I1103:I1123)+I1128,0)</f>
        <v>6904930</v>
      </c>
      <c r="J1132" s="43">
        <f>ROUND(SUM(E1132:I1132),0)</f>
        <v>24851494</v>
      </c>
      <c r="K1132" s="78"/>
      <c r="L1132"/>
      <c r="M1132"/>
      <c r="N1132" s="4"/>
    </row>
    <row r="1133" spans="1:14" ht="20.25" customHeight="1">
      <c r="A1133" s="106"/>
      <c r="B1133" s="4"/>
      <c r="C1133" s="4"/>
      <c r="D1133" s="287"/>
      <c r="E1133" s="99"/>
      <c r="F1133" s="99"/>
      <c r="G1133" s="99"/>
      <c r="H1133" s="99"/>
      <c r="I1133" s="99"/>
      <c r="J1133" s="99"/>
      <c r="K1133" s="4"/>
      <c r="L1133" s="4"/>
      <c r="M1133" s="4"/>
      <c r="N1133" s="4"/>
    </row>
    <row r="1134" spans="1:14" ht="20.25" customHeight="1">
      <c r="A1134" s="106"/>
      <c r="B1134" s="4"/>
      <c r="D1134" s="430"/>
      <c r="E1134" s="4"/>
      <c r="F1134" s="4"/>
      <c r="G1134" s="4"/>
      <c r="H1134" s="111"/>
      <c r="I1134" s="431"/>
      <c r="J1134" s="13"/>
      <c r="K1134" s="4"/>
      <c r="L1134" s="4"/>
      <c r="M1134" s="4"/>
      <c r="N1134" s="4"/>
    </row>
    <row r="1135" spans="1:14" ht="20.25" customHeight="1">
      <c r="A1135" s="106"/>
      <c r="B1135" s="4"/>
      <c r="C1135" s="315"/>
      <c r="D1135" s="13"/>
      <c r="E1135" s="4"/>
      <c r="G1135" s="4"/>
      <c r="H1135" s="4"/>
      <c r="I1135" s="4"/>
      <c r="J1135" s="4"/>
      <c r="K1135" s="4"/>
      <c r="L1135" s="4"/>
      <c r="M1135" s="4"/>
      <c r="N1135" s="4"/>
    </row>
    <row r="1136" spans="1:14" ht="20.25" customHeight="1">
      <c r="A1136" s="106"/>
      <c r="B1136" s="4"/>
      <c r="C1136" s="315"/>
      <c r="D1136" s="13"/>
      <c r="E1136" s="4"/>
      <c r="G1136" s="4"/>
      <c r="H1136" s="4"/>
      <c r="I1136" s="4"/>
      <c r="J1136" s="4"/>
      <c r="K1136" s="4"/>
      <c r="L1136" s="4"/>
      <c r="M1136" s="4"/>
      <c r="N1136" s="4"/>
    </row>
    <row r="1137" spans="1:15" ht="20.25" customHeight="1">
      <c r="A1137" s="106"/>
      <c r="B1137" s="4"/>
      <c r="C1137" s="330"/>
      <c r="D1137" s="4"/>
      <c r="E1137" s="88"/>
      <c r="F1137" s="89"/>
      <c r="G1137" s="4"/>
      <c r="H1137" s="4"/>
      <c r="I1137" s="4"/>
      <c r="J1137" s="4"/>
      <c r="K1137" s="4"/>
      <c r="L1137" s="4"/>
      <c r="M1137" s="4"/>
      <c r="N1137" s="4"/>
    </row>
    <row r="1138" spans="1:15" ht="20.25" customHeight="1">
      <c r="A1138" s="106"/>
      <c r="B1138" s="4"/>
      <c r="C1138" s="106"/>
      <c r="D1138" s="341" t="s">
        <v>489</v>
      </c>
      <c r="E1138" s="684" t="s">
        <v>19</v>
      </c>
      <c r="F1138" s="684" t="s">
        <v>20</v>
      </c>
      <c r="G1138" s="684">
        <v>3</v>
      </c>
      <c r="H1138" s="684">
        <v>4</v>
      </c>
      <c r="I1138" s="684">
        <v>5</v>
      </c>
      <c r="J1138" s="685">
        <v>6</v>
      </c>
      <c r="K1138" s="4"/>
      <c r="L1138" s="4"/>
      <c r="M1138" s="4"/>
      <c r="N1138" s="4"/>
    </row>
    <row r="1139" spans="1:15" ht="20.25" customHeight="1">
      <c r="A1139" s="106"/>
      <c r="B1139" s="4"/>
      <c r="C1139" s="106"/>
      <c r="D1139" s="107"/>
      <c r="E1139" s="686"/>
      <c r="F1139" s="686"/>
      <c r="G1139" s="684"/>
      <c r="H1139" s="660" t="s">
        <v>22</v>
      </c>
      <c r="I1139" s="686"/>
      <c r="J1139" s="687"/>
      <c r="K1139" s="4"/>
      <c r="L1139" s="4"/>
      <c r="M1139" s="4"/>
      <c r="N1139" s="4"/>
    </row>
    <row r="1140" spans="1:15" ht="21" customHeight="1">
      <c r="A1140" s="106"/>
      <c r="B1140" s="4"/>
      <c r="C1140" s="106"/>
      <c r="D1140" s="107" t="s">
        <v>490</v>
      </c>
      <c r="E1140" s="688"/>
      <c r="F1140" s="688"/>
      <c r="G1140" s="689" t="s">
        <v>23</v>
      </c>
      <c r="H1140" s="659" t="s">
        <v>24</v>
      </c>
      <c r="I1140" s="688"/>
      <c r="J1140" s="690"/>
      <c r="K1140" s="4"/>
      <c r="L1140" s="4"/>
      <c r="M1140" s="4"/>
      <c r="N1140" s="4"/>
    </row>
    <row r="1141" spans="1:15" ht="20.25" customHeight="1">
      <c r="A1141" s="106"/>
      <c r="B1141" s="4"/>
      <c r="C1141" s="106"/>
      <c r="D1141" s="425" t="s">
        <v>491</v>
      </c>
      <c r="E1141" s="688" t="s">
        <v>25</v>
      </c>
      <c r="F1141" s="688" t="s">
        <v>26</v>
      </c>
      <c r="G1141" s="688" t="s">
        <v>27</v>
      </c>
      <c r="H1141" s="659" t="s">
        <v>28</v>
      </c>
      <c r="I1141" s="688" t="s">
        <v>29</v>
      </c>
      <c r="J1141" s="690"/>
      <c r="K1141" s="4"/>
      <c r="L1141" s="331" t="s">
        <v>509</v>
      </c>
      <c r="M1141" s="332"/>
      <c r="N1141" s="332"/>
      <c r="O1141" s="4"/>
    </row>
    <row r="1142" spans="1:15" ht="20.25" customHeight="1">
      <c r="A1142" s="106"/>
      <c r="B1142" s="4"/>
      <c r="C1142" s="106"/>
      <c r="D1142"/>
      <c r="E1142" s="691" t="s">
        <v>31</v>
      </c>
      <c r="F1142" s="691" t="s">
        <v>32</v>
      </c>
      <c r="G1142" s="691" t="s">
        <v>33</v>
      </c>
      <c r="H1142" s="661" t="s">
        <v>34</v>
      </c>
      <c r="I1142" s="691" t="s">
        <v>35</v>
      </c>
      <c r="J1142" s="691" t="s">
        <v>36</v>
      </c>
      <c r="K1142" s="4"/>
      <c r="L1142" s="331" t="s">
        <v>510</v>
      </c>
      <c r="M1142" s="333"/>
      <c r="N1142" s="333"/>
      <c r="O1142" s="331"/>
    </row>
    <row r="1143" spans="1:15" ht="20.25" customHeight="1">
      <c r="A1143" s="106"/>
      <c r="B1143" s="4"/>
      <c r="C1143" s="432"/>
      <c r="D1143" s="433" t="s">
        <v>511</v>
      </c>
      <c r="E1143" s="14"/>
      <c r="F1143" s="14"/>
      <c r="G1143" s="14"/>
      <c r="H1143" s="14"/>
      <c r="I1143" s="14"/>
      <c r="J1143" s="14"/>
      <c r="K1143" s="4"/>
      <c r="L1143" s="331" t="s">
        <v>512</v>
      </c>
      <c r="M1143" s="333"/>
      <c r="N1143" s="333"/>
      <c r="O1143" s="331"/>
    </row>
    <row r="1144" spans="1:15" ht="20.25" customHeight="1" thickBot="1">
      <c r="A1144" s="106">
        <v>1144</v>
      </c>
      <c r="B1144" s="4"/>
      <c r="C1144" s="280">
        <v>7400</v>
      </c>
      <c r="D1144" s="6" t="s">
        <v>513</v>
      </c>
      <c r="E1144" s="11"/>
      <c r="F1144" s="11"/>
      <c r="G1144" s="11"/>
      <c r="H1144" s="11"/>
      <c r="I1144" s="7"/>
      <c r="J1144" s="87">
        <f>ROUND(I1144,0)</f>
        <v>0</v>
      </c>
      <c r="K1144" s="78"/>
      <c r="M1144" s="333"/>
      <c r="N1144" s="333"/>
      <c r="O1144" s="331"/>
    </row>
    <row r="1145" spans="1:15" ht="20.25" customHeight="1" thickTop="1" thickBot="1">
      <c r="A1145" s="106">
        <v>1145</v>
      </c>
      <c r="B1145" s="4"/>
      <c r="C1145" s="280">
        <v>7420</v>
      </c>
      <c r="D1145" s="6" t="s">
        <v>514</v>
      </c>
      <c r="E1145" s="11"/>
      <c r="F1145" s="11"/>
      <c r="G1145" s="11"/>
      <c r="H1145" s="11"/>
      <c r="I1145" s="7"/>
      <c r="J1145" s="87">
        <f>ROUND(I1145,0)</f>
        <v>0</v>
      </c>
      <c r="K1145" s="78"/>
      <c r="L1145" s="121"/>
      <c r="M1145" s="335" t="s">
        <v>515</v>
      </c>
      <c r="N1145" s="121" t="s">
        <v>516</v>
      </c>
      <c r="O1145" s="335" t="s">
        <v>517</v>
      </c>
    </row>
    <row r="1146" spans="1:15" ht="20.25" customHeight="1" thickTop="1">
      <c r="A1146" s="106">
        <v>1146</v>
      </c>
      <c r="B1146" s="4"/>
      <c r="C1146" s="280">
        <v>7430</v>
      </c>
      <c r="D1146" s="6" t="s">
        <v>518</v>
      </c>
      <c r="E1146" s="11"/>
      <c r="F1146" s="11"/>
      <c r="G1146" s="11"/>
      <c r="H1146" s="11"/>
      <c r="I1146" s="7"/>
      <c r="J1146" s="87">
        <f>ROUND(I1146,0)</f>
        <v>0</v>
      </c>
      <c r="K1146" s="78"/>
      <c r="N1146" s="4"/>
    </row>
    <row r="1147" spans="1:15" ht="20.25" customHeight="1">
      <c r="A1147" s="106">
        <v>1147</v>
      </c>
      <c r="B1147" s="4"/>
      <c r="C1147" s="426">
        <v>7440</v>
      </c>
      <c r="D1147" s="283" t="s">
        <v>186</v>
      </c>
      <c r="E1147" s="7"/>
      <c r="F1147" s="7"/>
      <c r="G1147" s="7"/>
      <c r="H1147" s="7"/>
      <c r="I1147" s="11"/>
      <c r="J1147" s="87">
        <f>ROUND(SUM(E1147:H1147),0)</f>
        <v>0</v>
      </c>
      <c r="K1147" s="78"/>
      <c r="N1147" s="4"/>
    </row>
    <row r="1148" spans="1:15" ht="20.25" customHeight="1">
      <c r="A1148" s="106">
        <v>1148</v>
      </c>
      <c r="B1148" s="4"/>
      <c r="C1148" s="434">
        <v>7445</v>
      </c>
      <c r="D1148" s="435" t="s">
        <v>136</v>
      </c>
      <c r="E1148" s="11"/>
      <c r="F1148" s="11"/>
      <c r="G1148" s="11"/>
      <c r="H1148" s="11"/>
      <c r="I1148" s="7"/>
      <c r="J1148" s="87">
        <f>ROUND(I1148,0)</f>
        <v>0</v>
      </c>
      <c r="K1148" s="78"/>
      <c r="N1148" s="4"/>
    </row>
    <row r="1149" spans="1:15" ht="20.25" customHeight="1">
      <c r="A1149" s="106">
        <v>1149</v>
      </c>
      <c r="B1149" s="4"/>
      <c r="C1149" s="280">
        <v>7450</v>
      </c>
      <c r="D1149" s="6" t="s">
        <v>498</v>
      </c>
      <c r="E1149" s="11"/>
      <c r="F1149" s="11"/>
      <c r="G1149" s="11"/>
      <c r="H1149" s="11"/>
      <c r="I1149" s="7"/>
      <c r="J1149" s="87">
        <f t="shared" ref="J1149:J1160" si="98">ROUND(I1149,0)</f>
        <v>0</v>
      </c>
      <c r="K1149" s="78"/>
      <c r="L1149" s="92"/>
      <c r="M1149" s="4"/>
      <c r="N1149" s="4"/>
    </row>
    <row r="1150" spans="1:15" ht="20.25" customHeight="1">
      <c r="A1150" s="106">
        <v>1150</v>
      </c>
      <c r="B1150" s="4"/>
      <c r="C1150" s="280">
        <v>7460</v>
      </c>
      <c r="D1150" s="6" t="s">
        <v>144</v>
      </c>
      <c r="E1150" s="11"/>
      <c r="F1150" s="11"/>
      <c r="G1150" s="11"/>
      <c r="H1150" s="11"/>
      <c r="I1150" s="7"/>
      <c r="J1150" s="87">
        <f t="shared" si="98"/>
        <v>0</v>
      </c>
      <c r="K1150" s="78"/>
      <c r="L1150" s="92"/>
      <c r="M1150" s="4"/>
      <c r="N1150" s="4"/>
    </row>
    <row r="1151" spans="1:15" ht="20.25" customHeight="1">
      <c r="A1151" s="106">
        <v>1151</v>
      </c>
      <c r="B1151" s="4"/>
      <c r="C1151" s="280">
        <v>7470</v>
      </c>
      <c r="D1151" s="6" t="s">
        <v>147</v>
      </c>
      <c r="E1151" s="11"/>
      <c r="F1151" s="11"/>
      <c r="G1151" s="11"/>
      <c r="H1151" s="11"/>
      <c r="I1151" s="7"/>
      <c r="J1151" s="87">
        <f t="shared" si="98"/>
        <v>0</v>
      </c>
      <c r="K1151" s="78"/>
      <c r="L1151" s="4"/>
      <c r="M1151" s="4"/>
      <c r="N1151" s="4"/>
    </row>
    <row r="1152" spans="1:15" ht="20.25" customHeight="1">
      <c r="A1152" s="106">
        <v>1152</v>
      </c>
      <c r="B1152"/>
      <c r="C1152" s="427">
        <v>7475</v>
      </c>
      <c r="D1152" s="6" t="s">
        <v>148</v>
      </c>
      <c r="E1152" s="11"/>
      <c r="F1152" s="11"/>
      <c r="G1152" s="11"/>
      <c r="H1152" s="11"/>
      <c r="I1152" s="7">
        <v>20000</v>
      </c>
      <c r="J1152" s="87">
        <v>20000</v>
      </c>
      <c r="K1152" s="78"/>
      <c r="L1152" s="4"/>
      <c r="M1152" s="4"/>
      <c r="N1152" s="4"/>
    </row>
    <row r="1153" spans="1:14" ht="20.25" customHeight="1">
      <c r="A1153" s="106">
        <v>1153</v>
      </c>
      <c r="B1153" s="4"/>
      <c r="C1153" s="280">
        <v>7480</v>
      </c>
      <c r="D1153" s="6" t="s">
        <v>150</v>
      </c>
      <c r="E1153" s="11"/>
      <c r="F1153" s="11"/>
      <c r="G1153" s="11"/>
      <c r="H1153" s="11"/>
      <c r="I1153" s="7"/>
      <c r="J1153" s="87">
        <f t="shared" si="98"/>
        <v>0</v>
      </c>
      <c r="K1153" s="78"/>
      <c r="L1153" s="4"/>
      <c r="M1153" s="4"/>
      <c r="N1153" s="4"/>
    </row>
    <row r="1154" spans="1:14" ht="20.25" customHeight="1">
      <c r="A1154" s="106">
        <v>1154</v>
      </c>
      <c r="B1154" s="4"/>
      <c r="C1154" s="280">
        <v>7490</v>
      </c>
      <c r="D1154" s="6" t="s">
        <v>500</v>
      </c>
      <c r="E1154" s="11"/>
      <c r="F1154" s="11"/>
      <c r="G1154" s="11"/>
      <c r="H1154" s="11"/>
      <c r="I1154" s="7">
        <v>450000</v>
      </c>
      <c r="J1154" s="87">
        <v>450000</v>
      </c>
      <c r="K1154" s="78"/>
      <c r="L1154" s="4"/>
      <c r="M1154" s="4"/>
      <c r="N1154" s="4"/>
    </row>
    <row r="1155" spans="1:14" ht="20.25" customHeight="1">
      <c r="A1155" s="106">
        <v>1155</v>
      </c>
      <c r="B1155" s="4"/>
      <c r="C1155" s="280">
        <v>7500</v>
      </c>
      <c r="D1155" s="6" t="s">
        <v>197</v>
      </c>
      <c r="E1155" s="11"/>
      <c r="F1155" s="11"/>
      <c r="G1155" s="11"/>
      <c r="H1155" s="11"/>
      <c r="I1155" s="7"/>
      <c r="J1155" s="87">
        <f t="shared" si="98"/>
        <v>0</v>
      </c>
      <c r="K1155" s="78"/>
      <c r="L1155" s="4"/>
      <c r="M1155" s="4"/>
      <c r="N1155" s="4"/>
    </row>
    <row r="1156" spans="1:14" ht="20.25" customHeight="1">
      <c r="A1156" s="106">
        <v>1156</v>
      </c>
      <c r="B1156" s="4"/>
      <c r="C1156" s="280">
        <v>7510</v>
      </c>
      <c r="D1156" s="6" t="s">
        <v>519</v>
      </c>
      <c r="E1156" s="11"/>
      <c r="F1156" s="11"/>
      <c r="G1156" s="11"/>
      <c r="H1156" s="11"/>
      <c r="I1156" s="7"/>
      <c r="J1156" s="87">
        <f t="shared" si="98"/>
        <v>0</v>
      </c>
      <c r="K1156" s="78"/>
      <c r="L1156" s="4"/>
      <c r="M1156" s="4"/>
      <c r="N1156" s="4"/>
    </row>
    <row r="1157" spans="1:14" ht="20.25" customHeight="1">
      <c r="A1157" s="106">
        <v>1157</v>
      </c>
      <c r="B1157" s="4"/>
      <c r="C1157" s="368">
        <v>7515</v>
      </c>
      <c r="D1157" s="6" t="s">
        <v>502</v>
      </c>
      <c r="E1157" s="11"/>
      <c r="F1157" s="11"/>
      <c r="G1157" s="11"/>
      <c r="H1157" s="11"/>
      <c r="I1157" s="7"/>
      <c r="J1157" s="87">
        <f t="shared" si="98"/>
        <v>0</v>
      </c>
      <c r="K1157" s="78"/>
      <c r="L1157" s="4"/>
      <c r="M1157" s="4"/>
      <c r="N1157" s="4"/>
    </row>
    <row r="1158" spans="1:14" ht="20.25" customHeight="1">
      <c r="A1158" s="106">
        <v>1158</v>
      </c>
      <c r="B1158" s="4"/>
      <c r="C1158" s="436">
        <v>7520</v>
      </c>
      <c r="D1158" s="283" t="s">
        <v>503</v>
      </c>
      <c r="E1158" s="11"/>
      <c r="F1158" s="11"/>
      <c r="G1158" s="11"/>
      <c r="H1158" s="11"/>
      <c r="I1158" s="7"/>
      <c r="J1158" s="87">
        <f t="shared" si="98"/>
        <v>0</v>
      </c>
      <c r="K1158" s="78"/>
      <c r="L1158" s="4"/>
      <c r="M1158" s="4"/>
      <c r="N1158" s="4"/>
    </row>
    <row r="1159" spans="1:14" ht="20.25" customHeight="1">
      <c r="A1159" s="106">
        <v>1159</v>
      </c>
      <c r="B1159" s="4"/>
      <c r="C1159" s="426">
        <v>7530</v>
      </c>
      <c r="D1159" s="283" t="s">
        <v>158</v>
      </c>
      <c r="E1159" s="11"/>
      <c r="F1159" s="11"/>
      <c r="G1159" s="11"/>
      <c r="H1159" s="11"/>
      <c r="I1159" s="7"/>
      <c r="J1159" s="87">
        <f t="shared" si="98"/>
        <v>0</v>
      </c>
      <c r="K1159" s="78"/>
      <c r="L1159" s="4"/>
      <c r="M1159" s="4"/>
      <c r="N1159" s="4"/>
    </row>
    <row r="1160" spans="1:14" ht="20.25" customHeight="1">
      <c r="A1160" s="106">
        <v>1160</v>
      </c>
      <c r="B1160" s="326"/>
      <c r="C1160" s="428">
        <v>7535</v>
      </c>
      <c r="D1160" s="283" t="s">
        <v>159</v>
      </c>
      <c r="E1160" s="11"/>
      <c r="F1160" s="11"/>
      <c r="G1160" s="11"/>
      <c r="H1160" s="11"/>
      <c r="I1160" s="7"/>
      <c r="J1160" s="87">
        <f t="shared" si="98"/>
        <v>0</v>
      </c>
      <c r="K1160" s="78"/>
      <c r="L1160" s="4"/>
      <c r="M1160" s="4"/>
      <c r="N1160" s="4"/>
    </row>
    <row r="1161" spans="1:14" ht="20.25" customHeight="1">
      <c r="A1161" s="106">
        <v>1161</v>
      </c>
      <c r="B1161" s="4"/>
      <c r="C1161" s="426">
        <v>7540</v>
      </c>
      <c r="D1161" s="283" t="s">
        <v>504</v>
      </c>
      <c r="E1161" s="7"/>
      <c r="F1161" s="7"/>
      <c r="G1161" s="7"/>
      <c r="H1161" s="7"/>
      <c r="I1161" s="7"/>
      <c r="J1161" s="87">
        <f>ROUND(SUM(E1161:I1161),0)</f>
        <v>0</v>
      </c>
      <c r="K1161" s="78"/>
      <c r="L1161" s="4"/>
      <c r="M1161" s="4"/>
      <c r="N1161" s="4"/>
    </row>
    <row r="1162" spans="1:14" ht="20.25" customHeight="1">
      <c r="A1162" s="106">
        <v>1162</v>
      </c>
      <c r="B1162" s="4"/>
      <c r="C1162" s="426">
        <v>7550</v>
      </c>
      <c r="D1162" s="283" t="s">
        <v>505</v>
      </c>
      <c r="E1162" s="7"/>
      <c r="F1162" s="7"/>
      <c r="G1162" s="7"/>
      <c r="H1162" s="7"/>
      <c r="I1162" s="7"/>
      <c r="J1162" s="87">
        <f>ROUND(SUM(E1162:I1162),0)</f>
        <v>0</v>
      </c>
      <c r="K1162" s="78"/>
      <c r="L1162" s="4"/>
      <c r="M1162" s="4"/>
      <c r="N1162" s="4"/>
    </row>
    <row r="1163" spans="1:14" ht="20.25" customHeight="1">
      <c r="A1163" s="106">
        <v>1163</v>
      </c>
      <c r="B1163" s="4"/>
      <c r="C1163" s="426">
        <v>7560</v>
      </c>
      <c r="D1163" s="283" t="s">
        <v>506</v>
      </c>
      <c r="E1163" s="11"/>
      <c r="F1163" s="11"/>
      <c r="G1163" s="11"/>
      <c r="H1163" s="11"/>
      <c r="I1163" s="7"/>
      <c r="J1163" s="87">
        <f>ROUND(I1163,0)</f>
        <v>0</v>
      </c>
      <c r="K1163" s="78"/>
      <c r="L1163" s="4"/>
      <c r="M1163" s="4"/>
      <c r="N1163" s="4"/>
    </row>
    <row r="1164" spans="1:14" ht="20.25" customHeight="1">
      <c r="A1164" s="106">
        <v>1164</v>
      </c>
      <c r="B1164" s="4"/>
      <c r="C1164" s="426">
        <v>7570</v>
      </c>
      <c r="D1164" s="283" t="s">
        <v>507</v>
      </c>
      <c r="E1164" s="11"/>
      <c r="F1164" s="11"/>
      <c r="G1164" s="11"/>
      <c r="H1164" s="11"/>
      <c r="I1164" s="7"/>
      <c r="J1164" s="87">
        <f>ROUND(I1164,0)</f>
        <v>0</v>
      </c>
      <c r="K1164" s="78"/>
      <c r="L1164" s="4"/>
      <c r="M1164" s="4"/>
      <c r="N1164" s="4"/>
    </row>
    <row r="1165" spans="1:14" ht="20.25" customHeight="1">
      <c r="A1165" s="106">
        <v>1165</v>
      </c>
      <c r="B1165" s="4"/>
      <c r="C1165" s="426">
        <v>7580</v>
      </c>
      <c r="D1165" s="283" t="s">
        <v>203</v>
      </c>
      <c r="E1165" s="11"/>
      <c r="F1165" s="11"/>
      <c r="G1165" s="11"/>
      <c r="H1165" s="11"/>
      <c r="I1165" s="7"/>
      <c r="J1165" s="87">
        <f>ROUND(I1165,0)</f>
        <v>0</v>
      </c>
      <c r="K1165" s="78"/>
      <c r="L1165" s="4"/>
      <c r="M1165" s="4"/>
      <c r="N1165" s="4"/>
    </row>
    <row r="1166" spans="1:14" ht="20.25" customHeight="1">
      <c r="A1166" s="106">
        <v>1166</v>
      </c>
      <c r="B1166" s="4"/>
      <c r="C1166" s="426">
        <v>7640</v>
      </c>
      <c r="D1166" s="283" t="s">
        <v>520</v>
      </c>
      <c r="E1166" s="11"/>
      <c r="F1166" s="11"/>
      <c r="G1166" s="11"/>
      <c r="H1166" s="11"/>
      <c r="I1166" s="7"/>
      <c r="J1166" s="87">
        <f>ROUND(I1166,0)</f>
        <v>0</v>
      </c>
      <c r="K1166" s="78"/>
      <c r="L1166" s="4"/>
      <c r="M1166" s="4"/>
      <c r="N1166" s="4"/>
    </row>
    <row r="1167" spans="1:14" ht="20.25" customHeight="1">
      <c r="A1167" s="106">
        <v>1167</v>
      </c>
      <c r="B1167" s="4"/>
      <c r="C1167" s="368">
        <v>7645</v>
      </c>
      <c r="D1167" s="6" t="s">
        <v>174</v>
      </c>
      <c r="E1167" s="7"/>
      <c r="F1167" s="95">
        <v>0</v>
      </c>
      <c r="G1167" s="7"/>
      <c r="H1167" s="7"/>
      <c r="I1167" s="11"/>
      <c r="J1167" s="87">
        <f t="shared" ref="J1167:J1174" si="99">SUM(E1167:H1167)</f>
        <v>0</v>
      </c>
      <c r="K1167" s="676" t="str">
        <f>IF(AND(G1167&gt;0,G1147=0),"Enter transportation costs for non-resident vocational students on line 7440, column 3 if applicable","")</f>
        <v/>
      </c>
      <c r="L1167" s="4"/>
      <c r="M1167" s="4"/>
      <c r="N1167" s="4"/>
    </row>
    <row r="1168" spans="1:14" ht="20.25" customHeight="1">
      <c r="A1168" s="106">
        <v>1168</v>
      </c>
      <c r="B1168" s="4"/>
      <c r="C1168" s="368">
        <v>7650</v>
      </c>
      <c r="D1168" s="6" t="s">
        <v>175</v>
      </c>
      <c r="E1168" s="95">
        <v>355122.43</v>
      </c>
      <c r="F1168" s="95">
        <v>73888</v>
      </c>
      <c r="G1168" s="95">
        <v>0</v>
      </c>
      <c r="H1168" s="7"/>
      <c r="I1168" s="11"/>
      <c r="J1168" s="87">
        <f t="shared" si="99"/>
        <v>429010.43</v>
      </c>
      <c r="K1168" s="78"/>
      <c r="L1168" s="4"/>
      <c r="M1168" s="4"/>
      <c r="N1168" s="4"/>
    </row>
    <row r="1169" spans="1:14" ht="20.25" customHeight="1">
      <c r="A1169" s="106">
        <v>1169</v>
      </c>
      <c r="B1169" s="4"/>
      <c r="C1169" s="368">
        <v>7655</v>
      </c>
      <c r="D1169" s="6" t="s">
        <v>176</v>
      </c>
      <c r="E1169" s="95">
        <v>505061.61</v>
      </c>
      <c r="F1169" s="95">
        <v>38015.390000000007</v>
      </c>
      <c r="G1169" s="95"/>
      <c r="H1169" s="7"/>
      <c r="I1169" s="11"/>
      <c r="J1169" s="87">
        <f t="shared" si="99"/>
        <v>543077</v>
      </c>
      <c r="K1169" s="78"/>
      <c r="L1169" s="4"/>
      <c r="M1169" s="4"/>
      <c r="N1169" s="4"/>
    </row>
    <row r="1170" spans="1:14" ht="20.25" customHeight="1">
      <c r="A1170" s="106">
        <v>1170</v>
      </c>
      <c r="B1170" s="4"/>
      <c r="C1170" s="368">
        <v>7660</v>
      </c>
      <c r="D1170" s="6" t="s">
        <v>177</v>
      </c>
      <c r="E1170" s="7"/>
      <c r="F1170" s="7"/>
      <c r="G1170" s="7"/>
      <c r="H1170" s="7"/>
      <c r="I1170" s="11"/>
      <c r="J1170" s="87">
        <f t="shared" si="99"/>
        <v>0</v>
      </c>
      <c r="K1170" s="78"/>
      <c r="L1170" s="4"/>
      <c r="M1170" s="4"/>
      <c r="N1170" s="4"/>
    </row>
    <row r="1171" spans="1:14" ht="20.25" customHeight="1">
      <c r="A1171" s="106">
        <v>1171</v>
      </c>
      <c r="B1171" s="4"/>
      <c r="C1171" s="426">
        <v>7661</v>
      </c>
      <c r="D1171" s="283" t="s">
        <v>178</v>
      </c>
      <c r="E1171" s="11"/>
      <c r="F1171" s="11"/>
      <c r="G1171" s="11"/>
      <c r="H1171" s="11"/>
      <c r="I1171" s="95">
        <v>0</v>
      </c>
      <c r="J1171" s="87">
        <f>ROUND(I1171,0)</f>
        <v>0</v>
      </c>
      <c r="K1171" s="78"/>
      <c r="L1171" s="4"/>
      <c r="M1171" s="4"/>
      <c r="N1171" s="4"/>
    </row>
    <row r="1172" spans="1:14" ht="20.25" customHeight="1">
      <c r="A1172" s="106">
        <v>1172</v>
      </c>
      <c r="B1172" s="4"/>
      <c r="C1172" s="368">
        <v>7665</v>
      </c>
      <c r="D1172" s="6" t="s">
        <v>179</v>
      </c>
      <c r="E1172" s="7"/>
      <c r="F1172" s="7"/>
      <c r="G1172" s="7"/>
      <c r="H1172" s="7"/>
      <c r="I1172" s="11"/>
      <c r="J1172" s="87">
        <f t="shared" si="99"/>
        <v>0</v>
      </c>
      <c r="K1172" s="78"/>
      <c r="L1172" s="4"/>
      <c r="M1172" s="4"/>
      <c r="N1172" s="4"/>
    </row>
    <row r="1173" spans="1:14" ht="20.25" customHeight="1">
      <c r="A1173" s="106">
        <v>1173</v>
      </c>
      <c r="B1173" s="4"/>
      <c r="C1173" s="368">
        <v>7670</v>
      </c>
      <c r="D1173" s="6" t="s">
        <v>180</v>
      </c>
      <c r="E1173" s="7"/>
      <c r="F1173" s="7"/>
      <c r="G1173" s="7"/>
      <c r="H1173" s="7"/>
      <c r="I1173" s="11"/>
      <c r="J1173" s="87">
        <f t="shared" si="99"/>
        <v>0</v>
      </c>
      <c r="K1173" s="78"/>
      <c r="L1173" s="4"/>
      <c r="M1173" s="4"/>
      <c r="N1173" s="4"/>
    </row>
    <row r="1174" spans="1:14" ht="20.25" customHeight="1">
      <c r="A1174" s="106">
        <v>1174</v>
      </c>
      <c r="B1174" s="4"/>
      <c r="C1174" s="368">
        <v>7675</v>
      </c>
      <c r="D1174" s="6" t="s">
        <v>181</v>
      </c>
      <c r="E1174" s="7"/>
      <c r="F1174" s="7"/>
      <c r="G1174" s="7"/>
      <c r="H1174" s="7"/>
      <c r="I1174" s="11"/>
      <c r="J1174" s="87">
        <f t="shared" si="99"/>
        <v>0</v>
      </c>
      <c r="K1174" s="78"/>
      <c r="L1174" s="4"/>
      <c r="M1174" s="4"/>
      <c r="N1174" s="4"/>
    </row>
    <row r="1175" spans="1:14" ht="20.25" customHeight="1">
      <c r="A1175" s="106">
        <v>1175</v>
      </c>
      <c r="B1175" s="4"/>
      <c r="C1175" s="426">
        <v>7680</v>
      </c>
      <c r="D1175" s="283" t="s">
        <v>521</v>
      </c>
      <c r="E1175" s="494"/>
      <c r="F1175" s="11"/>
      <c r="G1175" s="11"/>
      <c r="H1175" s="11"/>
      <c r="I1175" s="7">
        <v>1225646</v>
      </c>
      <c r="J1175" s="87">
        <f>ROUND(I1175,0)</f>
        <v>1225646</v>
      </c>
      <c r="K1175" s="78"/>
      <c r="L1175" s="4"/>
      <c r="M1175" s="4"/>
      <c r="N1175" s="4"/>
    </row>
    <row r="1176" spans="1:14" ht="20.25" customHeight="1">
      <c r="A1176" s="106">
        <v>1176</v>
      </c>
      <c r="B1176" s="4"/>
      <c r="C1176" s="437">
        <v>7690</v>
      </c>
      <c r="D1176" s="296" t="s">
        <v>522</v>
      </c>
      <c r="E1176" s="48">
        <f>ROUND(E1147+E1161+E1162+SUM(E1167:E1174),0)</f>
        <v>860184</v>
      </c>
      <c r="F1176" s="48">
        <f>ROUND(F1147+F1161+F1162+SUM(F1167:F1174),0)</f>
        <v>111903</v>
      </c>
      <c r="G1176" s="48">
        <f>ROUND(G1147+G1161+G1162+SUM(G1167:G1174),0)</f>
        <v>0</v>
      </c>
      <c r="H1176" s="48">
        <f>ROUND(H1147+H1161+H1162+SUM(H1167:H1174),0)</f>
        <v>0</v>
      </c>
      <c r="I1176" s="6">
        <f>ROUND(SUM(I1144:I1146)+SUM(I1148:I1166)+I1171+I1175,0)</f>
        <v>1695646</v>
      </c>
      <c r="J1176" s="87">
        <f>ROUND(SUM(E1176:I1176),0)</f>
        <v>2667733</v>
      </c>
      <c r="K1176" s="78"/>
      <c r="L1176" s="4"/>
      <c r="M1176" s="4"/>
      <c r="N1176" s="4"/>
    </row>
    <row r="1177" spans="1:14" ht="20.25" customHeight="1">
      <c r="A1177" s="106">
        <v>1177</v>
      </c>
      <c r="B1177" s="4"/>
      <c r="C1177" s="429">
        <v>7750</v>
      </c>
      <c r="D1177" s="124" t="s">
        <v>523</v>
      </c>
      <c r="E1177" s="43">
        <f>ROUND(E1132+E1176,0)</f>
        <v>12690235</v>
      </c>
      <c r="F1177" s="43">
        <f>ROUND(F1132+F1176,0)</f>
        <v>6228416</v>
      </c>
      <c r="G1177" s="43">
        <f>ROUND(G1132+G1176,0)</f>
        <v>0</v>
      </c>
      <c r="H1177" s="43">
        <f>ROUND(H1132+H1176,0)</f>
        <v>0</v>
      </c>
      <c r="I1177" s="43">
        <f>ROUND(I1132+I1176,0)</f>
        <v>8600576</v>
      </c>
      <c r="J1177" s="43">
        <f>SUM(E1177:I1177)</f>
        <v>27519227</v>
      </c>
      <c r="K1177" s="78"/>
      <c r="L1177" s="4"/>
      <c r="M1177" s="4"/>
      <c r="N1177" s="4"/>
    </row>
    <row r="1178" spans="1:14" ht="20.25" customHeight="1">
      <c r="A1178" s="106"/>
      <c r="B1178" s="4"/>
      <c r="C1178" s="4"/>
      <c r="D1178" s="13"/>
      <c r="E1178" s="4"/>
      <c r="F1178" s="4"/>
      <c r="G1178" s="4"/>
      <c r="H1178" s="4"/>
      <c r="I1178" s="4"/>
      <c r="J1178" s="4"/>
      <c r="K1178" s="4"/>
      <c r="L1178" s="4"/>
      <c r="M1178" s="4"/>
      <c r="N1178" s="4"/>
    </row>
    <row r="1179" spans="1:14" ht="20.25" customHeight="1">
      <c r="A1179" s="106"/>
      <c r="B1179" s="4"/>
      <c r="C1179" s="4"/>
      <c r="D1179" s="107" t="s">
        <v>489</v>
      </c>
      <c r="E1179" s="160" t="s">
        <v>19</v>
      </c>
      <c r="F1179" s="160" t="s">
        <v>20</v>
      </c>
      <c r="G1179" s="160">
        <v>3</v>
      </c>
      <c r="H1179" s="160">
        <v>4</v>
      </c>
      <c r="I1179" s="160">
        <v>5</v>
      </c>
      <c r="J1179" s="160">
        <v>6</v>
      </c>
      <c r="K1179" s="4"/>
      <c r="L1179" s="4"/>
      <c r="M1179" s="4"/>
      <c r="N1179" s="4"/>
    </row>
    <row r="1180" spans="1:14" ht="20.25" customHeight="1">
      <c r="A1180" s="106"/>
      <c r="B1180" s="4"/>
      <c r="C1180" s="4"/>
      <c r="D1180" s="107" t="s">
        <v>490</v>
      </c>
      <c r="E1180" s="688"/>
      <c r="F1180" s="688"/>
      <c r="G1180" s="689" t="s">
        <v>23</v>
      </c>
      <c r="H1180" s="659" t="s">
        <v>22</v>
      </c>
      <c r="I1180" s="688"/>
      <c r="J1180" s="690"/>
      <c r="K1180" s="4"/>
      <c r="L1180" s="4"/>
      <c r="M1180" s="4"/>
      <c r="N1180" s="4"/>
    </row>
    <row r="1181" spans="1:14" ht="20.25" customHeight="1">
      <c r="A1181" s="106"/>
      <c r="B1181" s="4"/>
      <c r="C1181" s="4"/>
      <c r="D1181" s="425" t="s">
        <v>491</v>
      </c>
      <c r="E1181" s="688" t="s">
        <v>25</v>
      </c>
      <c r="F1181" s="688" t="s">
        <v>26</v>
      </c>
      <c r="G1181" s="688" t="s">
        <v>27</v>
      </c>
      <c r="H1181" s="659" t="s">
        <v>524</v>
      </c>
      <c r="I1181" s="688" t="s">
        <v>29</v>
      </c>
      <c r="J1181" s="690"/>
      <c r="K1181" s="4"/>
      <c r="L1181" s="4"/>
      <c r="M1181" s="4"/>
      <c r="N1181" s="4"/>
    </row>
    <row r="1182" spans="1:14" ht="20.25" customHeight="1">
      <c r="A1182" s="106"/>
      <c r="B1182" s="4"/>
      <c r="C1182" s="4"/>
      <c r="D1182" s="403" t="s">
        <v>525</v>
      </c>
      <c r="E1182" s="691" t="s">
        <v>31</v>
      </c>
      <c r="F1182" s="691" t="s">
        <v>32</v>
      </c>
      <c r="G1182" s="691" t="s">
        <v>33</v>
      </c>
      <c r="H1182" s="661" t="s">
        <v>34</v>
      </c>
      <c r="I1182" s="691" t="s">
        <v>35</v>
      </c>
      <c r="J1182" s="691" t="s">
        <v>36</v>
      </c>
      <c r="K1182" s="4"/>
      <c r="L1182" s="4"/>
      <c r="M1182" s="4"/>
      <c r="N1182" s="4"/>
    </row>
    <row r="1183" spans="1:14" ht="20.25" customHeight="1">
      <c r="A1183" s="106"/>
      <c r="B1183" s="4"/>
      <c r="C1183" s="106"/>
      <c r="D1183" s="13" t="s">
        <v>526</v>
      </c>
      <c r="E1183" s="4"/>
      <c r="F1183" s="4"/>
      <c r="G1183" s="4"/>
      <c r="H1183" s="4"/>
      <c r="I1183" s="4"/>
      <c r="J1183" s="4"/>
      <c r="K1183" s="4"/>
      <c r="L1183" s="4"/>
      <c r="M1183" s="4"/>
      <c r="N1183" s="4"/>
    </row>
    <row r="1184" spans="1:14" ht="20.25" customHeight="1">
      <c r="A1184" s="106">
        <v>1184</v>
      </c>
      <c r="B1184" s="4"/>
      <c r="C1184" s="426">
        <v>7800</v>
      </c>
      <c r="D1184" s="283" t="s">
        <v>40</v>
      </c>
      <c r="E1184" s="11"/>
      <c r="F1184" s="11"/>
      <c r="G1184" s="11"/>
      <c r="H1184" s="11"/>
      <c r="I1184" s="6">
        <f>J1231</f>
        <v>0</v>
      </c>
      <c r="J1184" s="87">
        <f>ROUND(I1184,0)</f>
        <v>0</v>
      </c>
      <c r="K1184" s="78"/>
      <c r="L1184" s="4"/>
      <c r="M1184" s="4"/>
      <c r="N1184" s="4"/>
    </row>
    <row r="1185" spans="1:15" ht="20.25" customHeight="1">
      <c r="A1185" s="106">
        <v>1185</v>
      </c>
      <c r="B1185" s="4"/>
      <c r="C1185" s="426">
        <v>7810</v>
      </c>
      <c r="D1185" s="283" t="s">
        <v>527</v>
      </c>
      <c r="E1185" s="11"/>
      <c r="F1185" s="11"/>
      <c r="G1185" s="11"/>
      <c r="H1185" s="11"/>
      <c r="I1185" s="7"/>
      <c r="J1185" s="87">
        <f>ROUND(I1185,0)</f>
        <v>0</v>
      </c>
      <c r="K1185" s="78"/>
      <c r="L1185" s="4"/>
      <c r="M1185" s="4"/>
      <c r="N1185" s="4"/>
    </row>
    <row r="1186" spans="1:15" ht="20.25" customHeight="1">
      <c r="A1186" s="106">
        <v>1186</v>
      </c>
      <c r="B1186" s="4"/>
      <c r="C1186" s="280">
        <v>7820</v>
      </c>
      <c r="D1186" s="6" t="s">
        <v>42</v>
      </c>
      <c r="E1186" s="7"/>
      <c r="F1186" s="7"/>
      <c r="G1186" s="7"/>
      <c r="H1186" s="7"/>
      <c r="I1186" s="7"/>
      <c r="J1186" s="87">
        <f>ROUND(SUM(E1186:I1186),0)</f>
        <v>0</v>
      </c>
      <c r="K1186" s="78"/>
      <c r="L1186" s="4"/>
      <c r="M1186" s="4"/>
      <c r="N1186" s="4"/>
    </row>
    <row r="1187" spans="1:15" ht="20.25" customHeight="1">
      <c r="A1187" s="106">
        <v>1187</v>
      </c>
      <c r="B1187" s="4"/>
      <c r="C1187" s="280">
        <v>7830</v>
      </c>
      <c r="D1187" s="6" t="s">
        <v>43</v>
      </c>
      <c r="E1187" s="7"/>
      <c r="F1187" s="7"/>
      <c r="G1187" s="7"/>
      <c r="H1187" s="7"/>
      <c r="I1187" s="7"/>
      <c r="J1187" s="87">
        <f>ROUND(SUM(E1187:I1187),0)</f>
        <v>0</v>
      </c>
      <c r="K1187" s="78"/>
      <c r="L1187" s="4"/>
      <c r="M1187" s="4"/>
      <c r="N1187" s="4"/>
    </row>
    <row r="1188" spans="1:15" ht="20.25" customHeight="1">
      <c r="A1188" s="106">
        <v>1188</v>
      </c>
      <c r="B1188" s="4"/>
      <c r="C1188" s="280">
        <v>7840</v>
      </c>
      <c r="D1188" s="6" t="s">
        <v>44</v>
      </c>
      <c r="E1188" s="7"/>
      <c r="F1188" s="7"/>
      <c r="G1188" s="7"/>
      <c r="H1188" s="7"/>
      <c r="I1188" s="7"/>
      <c r="J1188" s="87">
        <f>ROUND(SUM(E1188:I1188),0)</f>
        <v>0</v>
      </c>
      <c r="K1188" s="78"/>
      <c r="L1188" s="4"/>
      <c r="M1188" s="4"/>
      <c r="N1188" s="4"/>
    </row>
    <row r="1189" spans="1:15" ht="20.25" customHeight="1">
      <c r="A1189" s="106">
        <v>1189</v>
      </c>
      <c r="B1189" s="4"/>
      <c r="C1189" s="426">
        <v>7850</v>
      </c>
      <c r="D1189" s="283" t="s">
        <v>46</v>
      </c>
      <c r="E1189" s="7">
        <v>35000</v>
      </c>
      <c r="F1189" s="7"/>
      <c r="G1189" s="7"/>
      <c r="H1189" s="7"/>
      <c r="I1189" s="7"/>
      <c r="J1189" s="87">
        <v>35000</v>
      </c>
      <c r="K1189" s="78"/>
      <c r="L1189" s="4"/>
      <c r="M1189" s="4"/>
      <c r="N1189" s="4"/>
    </row>
    <row r="1190" spans="1:15" ht="20.25" customHeight="1">
      <c r="A1190" s="106">
        <v>1190</v>
      </c>
      <c r="B1190" s="4"/>
      <c r="C1190" s="280">
        <v>7860</v>
      </c>
      <c r="D1190" s="6" t="s">
        <v>47</v>
      </c>
      <c r="E1190" s="11" t="s">
        <v>528</v>
      </c>
      <c r="F1190" s="11"/>
      <c r="G1190" s="11"/>
      <c r="H1190" s="11"/>
      <c r="I1190" s="7"/>
      <c r="J1190" s="87">
        <f>ROUND(I1190,0)</f>
        <v>0</v>
      </c>
      <c r="K1190" s="78"/>
      <c r="L1190" s="4"/>
      <c r="M1190" s="4"/>
      <c r="N1190" s="4"/>
    </row>
    <row r="1191" spans="1:15" ht="20.25" customHeight="1">
      <c r="A1191" s="106">
        <v>1191</v>
      </c>
      <c r="B1191" s="4"/>
      <c r="C1191" s="280">
        <v>7870</v>
      </c>
      <c r="D1191" s="6" t="s">
        <v>48</v>
      </c>
      <c r="E1191" s="11"/>
      <c r="F1191" s="11"/>
      <c r="G1191" s="11"/>
      <c r="H1191" s="11"/>
      <c r="I1191" s="7">
        <v>11000</v>
      </c>
      <c r="J1191" s="87">
        <v>11000</v>
      </c>
      <c r="K1191" s="78"/>
      <c r="L1191" s="4"/>
      <c r="M1191" s="4"/>
      <c r="N1191" s="4"/>
    </row>
    <row r="1192" spans="1:15" ht="20.25" customHeight="1">
      <c r="A1192" s="106">
        <v>1192</v>
      </c>
      <c r="B1192" s="4"/>
      <c r="C1192" s="280">
        <v>7880</v>
      </c>
      <c r="D1192" s="6" t="s">
        <v>529</v>
      </c>
      <c r="E1192" s="7"/>
      <c r="F1192" s="7"/>
      <c r="G1192" s="7"/>
      <c r="H1192" s="7">
        <v>135000</v>
      </c>
      <c r="I1192" s="7">
        <v>10000</v>
      </c>
      <c r="J1192" s="87">
        <v>145000</v>
      </c>
      <c r="K1192" s="78"/>
      <c r="L1192" s="4"/>
      <c r="M1192" s="4"/>
      <c r="N1192" s="4"/>
    </row>
    <row r="1193" spans="1:15" ht="20.25" customHeight="1">
      <c r="A1193" s="106">
        <v>1193</v>
      </c>
      <c r="B1193" s="4"/>
      <c r="C1193" s="426">
        <v>7890</v>
      </c>
      <c r="D1193" s="283" t="s">
        <v>50</v>
      </c>
      <c r="E1193" s="11"/>
      <c r="F1193" s="7"/>
      <c r="G1193" s="11"/>
      <c r="H1193" s="11"/>
      <c r="I1193" s="11" t="s">
        <v>528</v>
      </c>
      <c r="J1193" s="87">
        <f>ROUND(F1193,0)</f>
        <v>0</v>
      </c>
      <c r="K1193" s="78"/>
      <c r="L1193" s="4"/>
      <c r="M1193" s="4"/>
      <c r="N1193" s="4"/>
    </row>
    <row r="1194" spans="1:15" ht="20.25" customHeight="1">
      <c r="A1194" s="106">
        <v>1194</v>
      </c>
      <c r="B1194" s="4"/>
      <c r="C1194" s="426">
        <v>7900</v>
      </c>
      <c r="D1194" s="283" t="s">
        <v>51</v>
      </c>
      <c r="E1194" s="11"/>
      <c r="F1194" s="11"/>
      <c r="G1194" s="11"/>
      <c r="H1194" s="11"/>
      <c r="I1194" s="7"/>
      <c r="J1194" s="87">
        <f>ROUND(I1194,0)</f>
        <v>0</v>
      </c>
      <c r="K1194" s="78"/>
      <c r="L1194" s="4"/>
      <c r="M1194" s="4"/>
      <c r="N1194" s="4"/>
    </row>
    <row r="1195" spans="1:15" ht="20.25" customHeight="1">
      <c r="A1195" s="106">
        <v>1195</v>
      </c>
      <c r="B1195" s="4"/>
      <c r="C1195" s="438">
        <v>7910</v>
      </c>
      <c r="D1195" s="124" t="s">
        <v>52</v>
      </c>
      <c r="E1195" s="43">
        <v>30000</v>
      </c>
      <c r="F1195" s="43">
        <f>ROUND(SUM(F1186:F1189)+F1192+F1193,0)</f>
        <v>0</v>
      </c>
      <c r="G1195" s="43">
        <f>ROUND(SUM(G1186:G1189)+G1192,0)</f>
        <v>0</v>
      </c>
      <c r="H1195" s="43">
        <v>135000</v>
      </c>
      <c r="I1195" s="43">
        <v>21000</v>
      </c>
      <c r="J1195" s="43">
        <v>186000</v>
      </c>
      <c r="K1195" s="78"/>
      <c r="L1195" s="4"/>
      <c r="M1195" s="4"/>
      <c r="N1195" s="4"/>
    </row>
    <row r="1196" spans="1:15" ht="20.25" customHeight="1">
      <c r="A1196" s="106"/>
      <c r="B1196" s="4"/>
      <c r="C1196" s="439"/>
      <c r="D1196" s="99"/>
      <c r="E1196" s="288" t="s">
        <v>528</v>
      </c>
      <c r="F1196" s="288"/>
      <c r="G1196" s="288"/>
      <c r="H1196" s="288"/>
      <c r="I1196" s="288" t="s">
        <v>528</v>
      </c>
      <c r="J1196" s="288"/>
      <c r="K1196" s="104"/>
      <c r="L1196" s="104"/>
      <c r="M1196" s="4"/>
      <c r="N1196" s="4"/>
      <c r="O1196" s="4"/>
    </row>
    <row r="1197" spans="1:15" ht="20.25" customHeight="1">
      <c r="A1197" s="106"/>
      <c r="B1197" s="4"/>
      <c r="C1197" s="315"/>
      <c r="D1197" s="4"/>
      <c r="E1197" s="104"/>
      <c r="F1197" s="104"/>
      <c r="G1197" s="104"/>
      <c r="H1197" s="104"/>
      <c r="I1197" s="104"/>
      <c r="J1197" s="104"/>
      <c r="K1197" s="104"/>
      <c r="L1197" s="104"/>
      <c r="M1197" s="4"/>
      <c r="N1197" s="4"/>
      <c r="O1197" s="4"/>
    </row>
    <row r="1198" spans="1:15" ht="20.25" customHeight="1">
      <c r="A1198" s="106"/>
      <c r="B1198" s="4"/>
      <c r="C1198" s="315"/>
      <c r="D1198" s="4"/>
      <c r="E1198" s="79">
        <v>1</v>
      </c>
      <c r="F1198" s="79">
        <v>2</v>
      </c>
      <c r="G1198" s="79">
        <v>3</v>
      </c>
      <c r="H1198" s="79">
        <v>4</v>
      </c>
      <c r="I1198" s="79">
        <v>5</v>
      </c>
      <c r="J1198" s="160">
        <v>6</v>
      </c>
      <c r="K1198" s="160">
        <v>7</v>
      </c>
      <c r="L1198" s="160">
        <v>8</v>
      </c>
      <c r="M1198" s="78"/>
      <c r="N1198" s="104" t="s">
        <v>260</v>
      </c>
      <c r="O1198" s="4"/>
    </row>
    <row r="1199" spans="1:15" ht="20.25" customHeight="1">
      <c r="A1199" s="106"/>
      <c r="B1199" s="4"/>
      <c r="C1199" s="315"/>
      <c r="D1199" s="4"/>
      <c r="E1199" s="79"/>
      <c r="F1199" s="362"/>
      <c r="G1199" s="362"/>
      <c r="H1199" s="162"/>
      <c r="I1199" s="440"/>
      <c r="J1199" s="441"/>
      <c r="K1199" s="442" t="s">
        <v>530</v>
      </c>
      <c r="L1199" s="443" t="s">
        <v>531</v>
      </c>
      <c r="M1199" s="78"/>
      <c r="N1199" s="104" t="s">
        <v>267</v>
      </c>
      <c r="O1199" s="4"/>
    </row>
    <row r="1200" spans="1:15" ht="20.25" customHeight="1">
      <c r="A1200" s="106"/>
      <c r="B1200" s="4"/>
      <c r="C1200" s="315"/>
      <c r="D1200" s="13" t="s">
        <v>532</v>
      </c>
      <c r="E1200" s="165" t="s">
        <v>262</v>
      </c>
      <c r="F1200" s="165" t="s">
        <v>263</v>
      </c>
      <c r="G1200" s="165" t="s">
        <v>264</v>
      </c>
      <c r="H1200" s="343" t="s">
        <v>265</v>
      </c>
      <c r="I1200" s="343" t="s">
        <v>266</v>
      </c>
      <c r="J1200" s="444"/>
      <c r="K1200" s="165" t="s">
        <v>533</v>
      </c>
      <c r="L1200" s="168" t="s">
        <v>534</v>
      </c>
      <c r="M1200" s="78"/>
      <c r="N1200" s="104" t="s">
        <v>273</v>
      </c>
      <c r="O1200" s="4"/>
    </row>
    <row r="1201" spans="1:15" ht="20.25" customHeight="1">
      <c r="A1201" s="106"/>
      <c r="B1201" s="4"/>
      <c r="C1201" s="315"/>
      <c r="D1201" s="13" t="s">
        <v>535</v>
      </c>
      <c r="E1201" s="165" t="s">
        <v>269</v>
      </c>
      <c r="F1201" s="165" t="s">
        <v>270</v>
      </c>
      <c r="G1201" s="165" t="s">
        <v>270</v>
      </c>
      <c r="H1201" s="343" t="s">
        <v>536</v>
      </c>
      <c r="I1201" s="343" t="s">
        <v>537</v>
      </c>
      <c r="J1201" s="165"/>
      <c r="K1201" s="165" t="s">
        <v>538</v>
      </c>
      <c r="L1201" s="168" t="s">
        <v>24</v>
      </c>
      <c r="M1201" s="78"/>
      <c r="N1201" s="104" t="s">
        <v>277</v>
      </c>
      <c r="O1201" s="4"/>
    </row>
    <row r="1202" spans="1:15" ht="20.25" customHeight="1">
      <c r="A1202" s="106"/>
      <c r="B1202" s="4"/>
      <c r="C1202" s="315"/>
      <c r="D1202" s="13"/>
      <c r="E1202" s="165" t="s">
        <v>274</v>
      </c>
      <c r="F1202" s="165" t="s">
        <v>275</v>
      </c>
      <c r="G1202" s="165" t="s">
        <v>275</v>
      </c>
      <c r="H1202" s="343" t="s">
        <v>539</v>
      </c>
      <c r="I1202" s="343" t="s">
        <v>539</v>
      </c>
      <c r="J1202" s="165" t="s">
        <v>36</v>
      </c>
      <c r="K1202" s="165" t="s">
        <v>540</v>
      </c>
      <c r="L1202" s="445" t="s">
        <v>541</v>
      </c>
      <c r="M1202" s="4"/>
      <c r="N1202" s="104" t="s">
        <v>542</v>
      </c>
      <c r="O1202" s="4"/>
    </row>
    <row r="1203" spans="1:15" ht="20.25" customHeight="1">
      <c r="A1203" s="106"/>
      <c r="B1203" s="4"/>
      <c r="C1203" s="315"/>
      <c r="D1203" s="104" t="s">
        <v>543</v>
      </c>
      <c r="E1203" s="99"/>
      <c r="F1203" s="99"/>
      <c r="G1203" s="99"/>
      <c r="H1203" s="99"/>
      <c r="I1203" s="99"/>
      <c r="J1203" s="99"/>
      <c r="K1203" s="99"/>
      <c r="L1203" s="99"/>
      <c r="O1203" s="4"/>
    </row>
    <row r="1204" spans="1:15" ht="20.25" customHeight="1">
      <c r="A1204" s="106">
        <v>1204</v>
      </c>
      <c r="B1204" s="4"/>
      <c r="C1204" s="280">
        <v>8000</v>
      </c>
      <c r="D1204" s="43"/>
      <c r="E1204" s="549"/>
      <c r="F1204" s="6"/>
      <c r="G1204" s="7"/>
      <c r="H1204" s="7"/>
      <c r="I1204" s="7"/>
      <c r="J1204" s="6">
        <f t="shared" ref="J1204:J1231" si="100">SUM(F1204:I1204)</f>
        <v>0</v>
      </c>
      <c r="K1204" s="7"/>
      <c r="L1204" s="15"/>
      <c r="O1204" s="446"/>
    </row>
    <row r="1205" spans="1:15" ht="20.25" customHeight="1">
      <c r="A1205" s="106">
        <v>1205</v>
      </c>
      <c r="B1205" s="4"/>
      <c r="C1205" s="280">
        <v>8010</v>
      </c>
      <c r="D1205" s="43"/>
      <c r="E1205" s="549"/>
      <c r="F1205" s="6"/>
      <c r="G1205" s="7"/>
      <c r="H1205" s="7"/>
      <c r="I1205" s="7"/>
      <c r="J1205" s="6">
        <f t="shared" si="100"/>
        <v>0</v>
      </c>
      <c r="K1205" s="7"/>
      <c r="L1205" s="15"/>
      <c r="N1205" s="105" t="s">
        <v>280</v>
      </c>
      <c r="O1205" s="4"/>
    </row>
    <row r="1206" spans="1:15" ht="20.25" customHeight="1">
      <c r="A1206" s="106">
        <v>1206</v>
      </c>
      <c r="B1206" s="4"/>
      <c r="C1206" s="280">
        <v>8020</v>
      </c>
      <c r="D1206" s="43"/>
      <c r="E1206" s="549"/>
      <c r="F1206" s="6"/>
      <c r="G1206" s="7"/>
      <c r="H1206" s="7"/>
      <c r="I1206" s="7"/>
      <c r="J1206" s="6">
        <f t="shared" si="100"/>
        <v>0</v>
      </c>
      <c r="K1206" s="7"/>
      <c r="L1206" s="15"/>
      <c r="O1206" s="4"/>
    </row>
    <row r="1207" spans="1:15" ht="20.25" customHeight="1">
      <c r="A1207" s="106">
        <v>1207</v>
      </c>
      <c r="B1207" s="331"/>
      <c r="C1207" s="280">
        <v>8030</v>
      </c>
      <c r="D1207" s="43"/>
      <c r="E1207" s="549"/>
      <c r="F1207" s="6"/>
      <c r="G1207" s="7"/>
      <c r="H1207" s="7"/>
      <c r="I1207" s="7"/>
      <c r="J1207" s="6">
        <f t="shared" si="100"/>
        <v>0</v>
      </c>
      <c r="K1207" s="7"/>
      <c r="L1207" s="15"/>
      <c r="M1207" s="346" t="s">
        <v>281</v>
      </c>
      <c r="N1207" s="109"/>
      <c r="O1207" s="4"/>
    </row>
    <row r="1208" spans="1:15" ht="20.25" customHeight="1">
      <c r="A1208" s="106">
        <v>1208</v>
      </c>
      <c r="B1208" s="331"/>
      <c r="C1208" s="280">
        <v>8040</v>
      </c>
      <c r="D1208" s="43"/>
      <c r="E1208" s="549"/>
      <c r="F1208" s="6"/>
      <c r="G1208" s="7"/>
      <c r="H1208" s="7"/>
      <c r="I1208" s="7"/>
      <c r="J1208" s="6">
        <f t="shared" si="100"/>
        <v>0</v>
      </c>
      <c r="K1208" s="7"/>
      <c r="L1208" s="15"/>
      <c r="M1208" s="78"/>
      <c r="N1208" s="4"/>
      <c r="O1208" s="4"/>
    </row>
    <row r="1209" spans="1:15" ht="20.25" customHeight="1">
      <c r="A1209" s="106">
        <v>1209</v>
      </c>
      <c r="B1209" s="331"/>
      <c r="C1209" s="280">
        <v>8050</v>
      </c>
      <c r="D1209" s="43"/>
      <c r="E1209" s="549"/>
      <c r="F1209" s="6"/>
      <c r="G1209" s="7"/>
      <c r="H1209" s="7"/>
      <c r="I1209" s="7"/>
      <c r="J1209" s="6">
        <f t="shared" si="100"/>
        <v>0</v>
      </c>
      <c r="K1209" s="7"/>
      <c r="L1209" s="15"/>
      <c r="M1209" s="346" t="s">
        <v>282</v>
      </c>
      <c r="N1209" s="109"/>
      <c r="O1209" s="4"/>
    </row>
    <row r="1210" spans="1:15" ht="20.25" customHeight="1">
      <c r="A1210" s="106">
        <v>1210</v>
      </c>
      <c r="B1210" s="4"/>
      <c r="C1210" s="280">
        <v>8060</v>
      </c>
      <c r="D1210" s="43"/>
      <c r="E1210" s="549"/>
      <c r="F1210" s="6"/>
      <c r="G1210" s="7"/>
      <c r="H1210" s="7"/>
      <c r="I1210" s="7"/>
      <c r="J1210" s="6">
        <f t="shared" si="100"/>
        <v>0</v>
      </c>
      <c r="K1210" s="7"/>
      <c r="L1210" s="15"/>
      <c r="M1210" s="4"/>
      <c r="N1210" s="4"/>
      <c r="O1210" s="4"/>
    </row>
    <row r="1211" spans="1:15" ht="20.25" customHeight="1">
      <c r="A1211" s="106">
        <v>1211</v>
      </c>
      <c r="B1211" s="4"/>
      <c r="C1211" s="280">
        <v>8070</v>
      </c>
      <c r="D1211" s="43"/>
      <c r="E1211" s="549"/>
      <c r="F1211" s="6"/>
      <c r="G1211" s="7"/>
      <c r="H1211" s="7"/>
      <c r="I1211" s="7"/>
      <c r="J1211" s="6">
        <f t="shared" si="100"/>
        <v>0</v>
      </c>
      <c r="K1211" s="7"/>
      <c r="L1211" s="15"/>
      <c r="M1211" s="4"/>
      <c r="N1211" s="4"/>
      <c r="O1211" s="4"/>
    </row>
    <row r="1212" spans="1:15" ht="20.25" customHeight="1">
      <c r="A1212" s="106">
        <v>1212</v>
      </c>
      <c r="B1212" s="4"/>
      <c r="C1212" s="280">
        <v>8080</v>
      </c>
      <c r="D1212" s="43"/>
      <c r="E1212" s="549"/>
      <c r="F1212" s="6"/>
      <c r="G1212" s="7"/>
      <c r="H1212" s="7"/>
      <c r="I1212" s="7"/>
      <c r="J1212" s="6">
        <f t="shared" si="100"/>
        <v>0</v>
      </c>
      <c r="K1212" s="7"/>
      <c r="L1212" s="15"/>
      <c r="M1212" s="4"/>
      <c r="N1212" s="4"/>
      <c r="O1212" s="4"/>
    </row>
    <row r="1213" spans="1:15" ht="20.25" customHeight="1">
      <c r="A1213" s="106">
        <v>1213</v>
      </c>
      <c r="B1213" s="4"/>
      <c r="C1213" s="280">
        <v>8090</v>
      </c>
      <c r="D1213" s="43"/>
      <c r="E1213" s="549"/>
      <c r="F1213" s="6"/>
      <c r="G1213" s="7"/>
      <c r="H1213" s="7"/>
      <c r="I1213" s="7"/>
      <c r="J1213" s="6">
        <f t="shared" si="100"/>
        <v>0</v>
      </c>
      <c r="K1213" s="7"/>
      <c r="L1213" s="15"/>
      <c r="M1213" s="4"/>
      <c r="N1213" s="4"/>
      <c r="O1213" s="4"/>
    </row>
    <row r="1214" spans="1:15" ht="20.25" customHeight="1">
      <c r="A1214" s="106">
        <v>1214</v>
      </c>
      <c r="B1214" s="4"/>
      <c r="C1214" s="280">
        <v>8100</v>
      </c>
      <c r="D1214" s="43"/>
      <c r="E1214" s="549"/>
      <c r="F1214" s="6"/>
      <c r="G1214" s="7"/>
      <c r="H1214" s="7"/>
      <c r="I1214" s="7"/>
      <c r="J1214" s="6">
        <f t="shared" si="100"/>
        <v>0</v>
      </c>
      <c r="K1214" s="7"/>
      <c r="L1214" s="15"/>
      <c r="M1214" s="4"/>
      <c r="N1214" s="4"/>
      <c r="O1214" s="4"/>
    </row>
    <row r="1215" spans="1:15" ht="20.25" customHeight="1">
      <c r="A1215" s="106">
        <v>1215</v>
      </c>
      <c r="B1215" s="4"/>
      <c r="C1215" s="280">
        <v>8110</v>
      </c>
      <c r="D1215" s="43"/>
      <c r="E1215" s="549"/>
      <c r="F1215" s="6"/>
      <c r="G1215" s="7"/>
      <c r="H1215" s="7"/>
      <c r="I1215" s="7"/>
      <c r="J1215" s="6">
        <f t="shared" si="100"/>
        <v>0</v>
      </c>
      <c r="K1215" s="7"/>
      <c r="L1215" s="15"/>
      <c r="M1215" s="4"/>
      <c r="N1215" s="4"/>
      <c r="O1215" s="4"/>
    </row>
    <row r="1216" spans="1:15" ht="20.25" customHeight="1">
      <c r="A1216" s="106">
        <v>1216</v>
      </c>
      <c r="B1216" s="4"/>
      <c r="C1216" s="280">
        <v>8120</v>
      </c>
      <c r="D1216" s="43"/>
      <c r="E1216" s="549"/>
      <c r="F1216" s="6"/>
      <c r="G1216" s="7"/>
      <c r="H1216" s="7"/>
      <c r="I1216" s="7"/>
      <c r="J1216" s="6">
        <f t="shared" si="100"/>
        <v>0</v>
      </c>
      <c r="K1216" s="7"/>
      <c r="L1216" s="15"/>
      <c r="M1216" s="4"/>
      <c r="N1216" s="4"/>
      <c r="O1216" s="4"/>
    </row>
    <row r="1217" spans="1:15" ht="20.25" customHeight="1">
      <c r="A1217" s="106">
        <v>1217</v>
      </c>
      <c r="B1217" s="4"/>
      <c r="C1217" s="280">
        <v>8130</v>
      </c>
      <c r="D1217" s="43"/>
      <c r="E1217" s="549"/>
      <c r="F1217" s="6"/>
      <c r="G1217" s="7"/>
      <c r="H1217" s="7"/>
      <c r="I1217" s="7"/>
      <c r="J1217" s="6">
        <f t="shared" si="100"/>
        <v>0</v>
      </c>
      <c r="K1217" s="7"/>
      <c r="L1217" s="15"/>
      <c r="M1217" s="4"/>
      <c r="N1217" s="4"/>
      <c r="O1217" s="4"/>
    </row>
    <row r="1218" spans="1:15" ht="20.25" customHeight="1">
      <c r="A1218" s="106">
        <v>1218</v>
      </c>
      <c r="B1218" s="4"/>
      <c r="C1218" s="280">
        <v>8140</v>
      </c>
      <c r="D1218" s="43"/>
      <c r="E1218" s="549"/>
      <c r="F1218" s="6"/>
      <c r="G1218" s="7"/>
      <c r="H1218" s="7"/>
      <c r="I1218" s="7"/>
      <c r="J1218" s="6">
        <f t="shared" si="100"/>
        <v>0</v>
      </c>
      <c r="K1218" s="7"/>
      <c r="L1218" s="15"/>
      <c r="M1218" s="4"/>
      <c r="N1218" s="4"/>
      <c r="O1218" s="4"/>
    </row>
    <row r="1219" spans="1:15" ht="20.25" customHeight="1">
      <c r="A1219" s="106">
        <v>1219</v>
      </c>
      <c r="B1219" s="4"/>
      <c r="C1219" s="280">
        <v>8150</v>
      </c>
      <c r="D1219" s="43"/>
      <c r="E1219" s="549"/>
      <c r="F1219" s="6"/>
      <c r="G1219" s="7"/>
      <c r="H1219" s="7"/>
      <c r="I1219" s="7"/>
      <c r="J1219" s="6">
        <f t="shared" si="100"/>
        <v>0</v>
      </c>
      <c r="K1219" s="7"/>
      <c r="L1219" s="15"/>
      <c r="M1219" s="4"/>
      <c r="N1219" s="4"/>
      <c r="O1219" s="4"/>
    </row>
    <row r="1220" spans="1:15" ht="20.25" customHeight="1">
      <c r="A1220" s="106">
        <v>1220</v>
      </c>
      <c r="B1220" s="4"/>
      <c r="C1220" s="280">
        <v>8160</v>
      </c>
      <c r="D1220" s="43"/>
      <c r="E1220" s="549"/>
      <c r="F1220" s="6"/>
      <c r="G1220" s="7"/>
      <c r="H1220" s="7"/>
      <c r="I1220" s="7"/>
      <c r="J1220" s="6">
        <f t="shared" si="100"/>
        <v>0</v>
      </c>
      <c r="K1220" s="7"/>
      <c r="L1220" s="15"/>
      <c r="M1220" s="4"/>
      <c r="N1220" s="4"/>
      <c r="O1220" s="4"/>
    </row>
    <row r="1221" spans="1:15" ht="20.25" customHeight="1">
      <c r="A1221" s="106">
        <v>1221</v>
      </c>
      <c r="B1221" s="4"/>
      <c r="C1221" s="280">
        <v>8170</v>
      </c>
      <c r="D1221" s="43"/>
      <c r="E1221" s="549"/>
      <c r="F1221" s="6"/>
      <c r="G1221" s="7"/>
      <c r="H1221" s="7"/>
      <c r="I1221" s="7"/>
      <c r="J1221" s="6">
        <f t="shared" si="100"/>
        <v>0</v>
      </c>
      <c r="K1221" s="7"/>
      <c r="L1221" s="15"/>
      <c r="M1221" s="4"/>
      <c r="N1221" s="4"/>
      <c r="O1221" s="4"/>
    </row>
    <row r="1222" spans="1:15" ht="20.25" customHeight="1">
      <c r="A1222" s="106">
        <v>1222</v>
      </c>
      <c r="B1222" s="4"/>
      <c r="C1222" s="280">
        <v>8180</v>
      </c>
      <c r="D1222" s="43"/>
      <c r="E1222" s="549"/>
      <c r="F1222" s="6"/>
      <c r="G1222" s="7"/>
      <c r="H1222" s="7"/>
      <c r="I1222" s="7"/>
      <c r="J1222" s="6">
        <f t="shared" si="100"/>
        <v>0</v>
      </c>
      <c r="K1222" s="7"/>
      <c r="L1222" s="15"/>
      <c r="M1222" s="4"/>
      <c r="N1222" s="4"/>
      <c r="O1222" s="4"/>
    </row>
    <row r="1223" spans="1:15" ht="20.25" customHeight="1">
      <c r="A1223" s="106">
        <v>1223</v>
      </c>
      <c r="B1223" s="4"/>
      <c r="C1223" s="280">
        <v>8190</v>
      </c>
      <c r="D1223" s="43"/>
      <c r="E1223" s="549"/>
      <c r="F1223" s="6"/>
      <c r="G1223" s="7"/>
      <c r="H1223" s="7"/>
      <c r="I1223" s="7"/>
      <c r="J1223" s="6">
        <f t="shared" si="100"/>
        <v>0</v>
      </c>
      <c r="K1223" s="7"/>
      <c r="L1223" s="15"/>
      <c r="M1223" s="4"/>
      <c r="N1223" s="4"/>
      <c r="O1223" s="4"/>
    </row>
    <row r="1224" spans="1:15" ht="20.25" customHeight="1">
      <c r="A1224" s="106">
        <v>1224</v>
      </c>
      <c r="B1224" s="4"/>
      <c r="C1224" s="280">
        <v>8200</v>
      </c>
      <c r="D1224" s="43"/>
      <c r="E1224" s="549"/>
      <c r="F1224" s="6"/>
      <c r="G1224" s="7"/>
      <c r="H1224" s="7"/>
      <c r="I1224" s="7"/>
      <c r="J1224" s="6">
        <f t="shared" si="100"/>
        <v>0</v>
      </c>
      <c r="K1224" s="7"/>
      <c r="L1224" s="15"/>
      <c r="M1224" s="4"/>
      <c r="N1224" s="4"/>
      <c r="O1224" s="4"/>
    </row>
    <row r="1225" spans="1:15" ht="20.25" customHeight="1">
      <c r="A1225" s="106">
        <v>1225</v>
      </c>
      <c r="B1225" s="4"/>
      <c r="C1225" s="280">
        <v>8210</v>
      </c>
      <c r="D1225" s="43"/>
      <c r="E1225" s="549"/>
      <c r="F1225" s="6"/>
      <c r="G1225" s="7"/>
      <c r="H1225" s="7"/>
      <c r="I1225" s="7"/>
      <c r="J1225" s="6">
        <f t="shared" si="100"/>
        <v>0</v>
      </c>
      <c r="K1225" s="7"/>
      <c r="L1225" s="15"/>
      <c r="M1225" s="4"/>
      <c r="N1225" s="4"/>
      <c r="O1225" s="4"/>
    </row>
    <row r="1226" spans="1:15" ht="20.25" customHeight="1">
      <c r="A1226" s="106">
        <v>1226</v>
      </c>
      <c r="B1226" s="4"/>
      <c r="C1226" s="280">
        <v>8220</v>
      </c>
      <c r="D1226" s="43"/>
      <c r="E1226" s="549"/>
      <c r="F1226" s="6"/>
      <c r="G1226" s="7"/>
      <c r="H1226" s="7"/>
      <c r="I1226" s="7"/>
      <c r="J1226" s="6">
        <f t="shared" si="100"/>
        <v>0</v>
      </c>
      <c r="K1226" s="7"/>
      <c r="L1226" s="15"/>
      <c r="M1226" s="4"/>
      <c r="N1226" s="4"/>
      <c r="O1226" s="4"/>
    </row>
    <row r="1227" spans="1:15" ht="20.25" customHeight="1">
      <c r="A1227" s="106">
        <v>1227</v>
      </c>
      <c r="B1227" s="4"/>
      <c r="C1227" s="280">
        <v>8230</v>
      </c>
      <c r="D1227" s="43"/>
      <c r="E1227" s="549"/>
      <c r="F1227" s="6"/>
      <c r="G1227" s="7"/>
      <c r="H1227" s="7"/>
      <c r="I1227" s="7"/>
      <c r="J1227" s="6">
        <f t="shared" si="100"/>
        <v>0</v>
      </c>
      <c r="K1227" s="7"/>
      <c r="L1227" s="15"/>
      <c r="M1227" s="4"/>
      <c r="N1227" s="4"/>
      <c r="O1227" s="4"/>
    </row>
    <row r="1228" spans="1:15" ht="20.25" customHeight="1">
      <c r="A1228" s="106">
        <v>1228</v>
      </c>
      <c r="B1228" s="4"/>
      <c r="C1228" s="280">
        <v>8240</v>
      </c>
      <c r="D1228" s="43"/>
      <c r="E1228" s="549"/>
      <c r="F1228" s="6"/>
      <c r="G1228" s="7"/>
      <c r="H1228" s="7"/>
      <c r="I1228" s="7"/>
      <c r="J1228" s="6">
        <f t="shared" si="100"/>
        <v>0</v>
      </c>
      <c r="K1228" s="7"/>
      <c r="L1228" s="15"/>
      <c r="M1228" s="4"/>
      <c r="N1228" s="4"/>
      <c r="O1228" s="4"/>
    </row>
    <row r="1229" spans="1:15" ht="20.25" customHeight="1">
      <c r="A1229" s="106">
        <v>1229</v>
      </c>
      <c r="B1229" s="4"/>
      <c r="C1229" s="280">
        <v>8250</v>
      </c>
      <c r="D1229" s="43"/>
      <c r="E1229" s="549"/>
      <c r="F1229" s="6"/>
      <c r="G1229" s="7"/>
      <c r="H1229" s="7"/>
      <c r="I1229" s="7"/>
      <c r="J1229" s="6">
        <f t="shared" si="100"/>
        <v>0</v>
      </c>
      <c r="K1229" s="7"/>
      <c r="L1229" s="15"/>
      <c r="M1229" s="4"/>
      <c r="N1229" s="4"/>
      <c r="O1229" s="4"/>
    </row>
    <row r="1230" spans="1:15" ht="20.25" customHeight="1">
      <c r="A1230" s="106">
        <v>1230</v>
      </c>
      <c r="B1230" s="4"/>
      <c r="C1230" s="280">
        <v>8260</v>
      </c>
      <c r="D1230" s="351"/>
      <c r="E1230" s="552"/>
      <c r="F1230" s="99"/>
      <c r="G1230" s="7"/>
      <c r="H1230" s="7"/>
      <c r="I1230" s="7"/>
      <c r="J1230" s="6">
        <f t="shared" si="100"/>
        <v>0</v>
      </c>
      <c r="K1230" s="7"/>
      <c r="L1230" s="15"/>
      <c r="M1230" s="4"/>
      <c r="N1230" s="4"/>
      <c r="O1230" s="4"/>
    </row>
    <row r="1231" spans="1:15" ht="20.25" customHeight="1">
      <c r="A1231" s="106">
        <v>1231</v>
      </c>
      <c r="C1231" s="429">
        <v>8270</v>
      </c>
      <c r="D1231" s="447" t="s">
        <v>285</v>
      </c>
      <c r="E1231" s="57"/>
      <c r="F1231" s="336">
        <f>ROUND(SUM(F1204:F1230),0)</f>
        <v>0</v>
      </c>
      <c r="G1231" s="43">
        <f>ROUND(SUM(G1204:G1230),0)</f>
        <v>0</v>
      </c>
      <c r="H1231" s="43">
        <f>ROUND(SUM(H1204:H1230),0)</f>
        <v>0</v>
      </c>
      <c r="I1231" s="43">
        <f>ROUND(SUM(I1204:I1230),0)</f>
        <v>0</v>
      </c>
      <c r="J1231" s="43">
        <f t="shared" si="100"/>
        <v>0</v>
      </c>
      <c r="K1231" s="43">
        <f>SUM(K1204:K1230)</f>
        <v>0</v>
      </c>
      <c r="L1231" s="43">
        <f>SUM(L1204:L1230)</f>
        <v>0</v>
      </c>
      <c r="M1231" s="4"/>
      <c r="N1231" s="4"/>
      <c r="O1231" s="4"/>
    </row>
    <row r="1232" spans="1:15" ht="20.25" customHeight="1">
      <c r="A1232" s="106"/>
      <c r="B1232" s="4"/>
    </row>
    <row r="1233" spans="1:20" ht="20.25" customHeight="1">
      <c r="A1233" s="106"/>
      <c r="B1233" s="4"/>
      <c r="C1233" s="4"/>
      <c r="D1233" s="4"/>
      <c r="E1233" s="4"/>
      <c r="F1233" s="4"/>
      <c r="G1233" s="4"/>
      <c r="H1233" s="4"/>
      <c r="I1233" s="106"/>
      <c r="J1233" s="4"/>
      <c r="K1233" s="4"/>
      <c r="L1233" s="4"/>
      <c r="M1233" s="4"/>
      <c r="N1233" s="4"/>
      <c r="O1233" s="4"/>
      <c r="P1233" s="4"/>
      <c r="Q1233" s="4"/>
      <c r="R1233" s="4"/>
      <c r="T1233" s="91"/>
    </row>
    <row r="1234" spans="1:20" ht="20.25" customHeight="1">
      <c r="A1234" s="106"/>
      <c r="B1234" s="4"/>
      <c r="C1234" s="4"/>
      <c r="D1234" s="13" t="s">
        <v>544</v>
      </c>
      <c r="E1234" s="160" t="s">
        <v>19</v>
      </c>
      <c r="F1234" s="160" t="s">
        <v>20</v>
      </c>
      <c r="G1234" s="160" t="s">
        <v>305</v>
      </c>
      <c r="H1234" s="160" t="s">
        <v>369</v>
      </c>
      <c r="I1234" s="160">
        <v>5</v>
      </c>
      <c r="J1234" s="160">
        <v>6</v>
      </c>
      <c r="K1234" s="160">
        <v>7</v>
      </c>
      <c r="L1234" s="160">
        <v>8</v>
      </c>
      <c r="M1234" s="160">
        <v>9</v>
      </c>
      <c r="N1234" s="160">
        <v>10</v>
      </c>
      <c r="O1234" s="692">
        <v>11</v>
      </c>
      <c r="P1234" s="4"/>
      <c r="Q1234" s="4"/>
      <c r="R1234" s="4"/>
      <c r="T1234" s="91"/>
    </row>
    <row r="1235" spans="1:20" ht="20.25" customHeight="1">
      <c r="A1235" s="106"/>
      <c r="B1235" s="4"/>
      <c r="C1235" s="4"/>
      <c r="D1235" s="13" t="s">
        <v>545</v>
      </c>
      <c r="E1235" s="693"/>
      <c r="F1235" s="693"/>
      <c r="G1235" s="694"/>
      <c r="H1235" s="694"/>
      <c r="I1235" s="694"/>
      <c r="J1235" s="694"/>
      <c r="K1235" s="695"/>
      <c r="L1235" s="695"/>
      <c r="M1235" s="696"/>
      <c r="N1235" s="696"/>
      <c r="O1235" s="697"/>
      <c r="P1235" s="4"/>
      <c r="Q1235" s="4"/>
      <c r="R1235" s="4"/>
      <c r="T1235" s="91"/>
    </row>
    <row r="1236" spans="1:20" ht="20.25" customHeight="1">
      <c r="A1236" s="106"/>
      <c r="B1236" s="4"/>
      <c r="C1236" s="4"/>
      <c r="D1236" s="104"/>
      <c r="E1236" s="170" t="s">
        <v>546</v>
      </c>
      <c r="F1236" s="170" t="s">
        <v>269</v>
      </c>
      <c r="G1236" s="170"/>
      <c r="H1236" s="170"/>
      <c r="I1236" s="170"/>
      <c r="J1236" s="170" t="s">
        <v>547</v>
      </c>
      <c r="K1236" s="170" t="s">
        <v>548</v>
      </c>
      <c r="L1236" s="170"/>
      <c r="M1236" s="170"/>
      <c r="N1236" s="170" t="s">
        <v>28</v>
      </c>
      <c r="O1236" s="170"/>
      <c r="P1236" s="4"/>
      <c r="Q1236" s="4"/>
      <c r="R1236" s="4"/>
      <c r="T1236" s="91"/>
    </row>
    <row r="1237" spans="1:20" ht="20.25" customHeight="1">
      <c r="A1237" s="106"/>
      <c r="B1237" s="4"/>
      <c r="C1237" s="4"/>
      <c r="E1237" s="170" t="s">
        <v>549</v>
      </c>
      <c r="F1237" s="170" t="s">
        <v>549</v>
      </c>
      <c r="G1237" s="170" t="s">
        <v>550</v>
      </c>
      <c r="H1237" s="170" t="s">
        <v>551</v>
      </c>
      <c r="I1237" s="170" t="s">
        <v>552</v>
      </c>
      <c r="J1237" s="170" t="s">
        <v>553</v>
      </c>
      <c r="K1237" s="170" t="s">
        <v>554</v>
      </c>
      <c r="L1237" s="170" t="s">
        <v>555</v>
      </c>
      <c r="M1237" s="170" t="s">
        <v>556</v>
      </c>
      <c r="N1237" s="170" t="s">
        <v>557</v>
      </c>
      <c r="O1237" s="448"/>
      <c r="P1237" s="4"/>
      <c r="Q1237" s="4"/>
      <c r="R1237" s="4"/>
      <c r="T1237" s="91"/>
    </row>
    <row r="1238" spans="1:20" ht="20.25" customHeight="1">
      <c r="A1238" s="106"/>
      <c r="B1238" s="4"/>
      <c r="C1238" s="4"/>
      <c r="D1238" s="4"/>
      <c r="E1238" s="449" t="s">
        <v>558</v>
      </c>
      <c r="F1238" s="449" t="s">
        <v>558</v>
      </c>
      <c r="G1238" s="449" t="s">
        <v>553</v>
      </c>
      <c r="H1238" s="449" t="s">
        <v>553</v>
      </c>
      <c r="I1238" s="449" t="s">
        <v>559</v>
      </c>
      <c r="J1238" s="449" t="s">
        <v>560</v>
      </c>
      <c r="K1238" s="449" t="s">
        <v>561</v>
      </c>
      <c r="L1238" s="449" t="s">
        <v>562</v>
      </c>
      <c r="M1238" s="449" t="s">
        <v>563</v>
      </c>
      <c r="N1238" s="449" t="s">
        <v>564</v>
      </c>
      <c r="O1238" s="449" t="s">
        <v>36</v>
      </c>
      <c r="P1238" s="4"/>
      <c r="Q1238" s="4"/>
      <c r="R1238" s="4"/>
      <c r="T1238" s="91"/>
    </row>
    <row r="1239" spans="1:20" ht="20.25" customHeight="1">
      <c r="A1239" s="106"/>
      <c r="B1239" s="4"/>
      <c r="C1239" s="4"/>
      <c r="D1239" s="4"/>
      <c r="E1239" s="4"/>
      <c r="F1239" s="4"/>
      <c r="G1239" s="4"/>
      <c r="H1239" s="106"/>
      <c r="I1239" s="106"/>
      <c r="J1239" s="4"/>
      <c r="K1239" s="4"/>
      <c r="L1239" s="4"/>
      <c r="M1239" s="4"/>
      <c r="N1239" s="4"/>
      <c r="P1239" s="4"/>
      <c r="Q1239" s="4"/>
      <c r="R1239" s="4"/>
      <c r="T1239" s="91"/>
    </row>
    <row r="1240" spans="1:20" ht="20.25" customHeight="1">
      <c r="A1240" s="106">
        <v>1240</v>
      </c>
      <c r="B1240" s="4"/>
      <c r="C1240" s="450">
        <v>8300</v>
      </c>
      <c r="D1240" s="59" t="s">
        <v>83</v>
      </c>
      <c r="E1240" s="59">
        <f>J66</f>
        <v>2336</v>
      </c>
      <c r="F1240" s="59">
        <f>J481</f>
        <v>0</v>
      </c>
      <c r="G1240" s="59">
        <f t="shared" ref="G1240:G1248" si="101">SUM(E547:H547)</f>
        <v>0</v>
      </c>
      <c r="H1240" s="59">
        <f t="shared" ref="H1240:H1248" si="102">I547+J547</f>
        <v>0</v>
      </c>
      <c r="I1240" s="59">
        <f t="shared" ref="I1240:I1248" si="103">K547</f>
        <v>0</v>
      </c>
      <c r="J1240" s="59">
        <f t="shared" ref="J1240:J1248" si="104">L547</f>
        <v>0</v>
      </c>
      <c r="K1240" s="59">
        <f t="shared" ref="K1240:K1248" si="105">M547</f>
        <v>0</v>
      </c>
      <c r="L1240" s="59">
        <f t="shared" ref="L1240:L1248" si="106">N547</f>
        <v>0</v>
      </c>
      <c r="M1240" s="59">
        <f t="shared" ref="M1240:M1248" si="107">O547</f>
        <v>0</v>
      </c>
      <c r="N1240" s="59">
        <f t="shared" ref="N1240:N1248" si="108">P547</f>
        <v>0</v>
      </c>
      <c r="O1240" s="59">
        <f>SUM(E1240:N1240)</f>
        <v>2336</v>
      </c>
      <c r="P1240" s="4"/>
      <c r="Q1240" s="4"/>
      <c r="R1240" s="4"/>
      <c r="T1240" s="91"/>
    </row>
    <row r="1241" spans="1:20" ht="20.25" customHeight="1">
      <c r="A1241" s="106">
        <v>1241</v>
      </c>
      <c r="B1241" s="4"/>
      <c r="C1241" s="450">
        <v>8305</v>
      </c>
      <c r="D1241" s="59" t="s">
        <v>90</v>
      </c>
      <c r="E1241" s="59">
        <f>J74</f>
        <v>380243</v>
      </c>
      <c r="F1241" s="57"/>
      <c r="G1241" s="59">
        <f t="shared" si="101"/>
        <v>0</v>
      </c>
      <c r="H1241" s="59">
        <f t="shared" si="102"/>
        <v>0</v>
      </c>
      <c r="I1241" s="59">
        <f t="shared" si="103"/>
        <v>0</v>
      </c>
      <c r="J1241" s="59">
        <f t="shared" si="104"/>
        <v>0</v>
      </c>
      <c r="K1241" s="59">
        <f t="shared" si="105"/>
        <v>0</v>
      </c>
      <c r="L1241" s="59">
        <f t="shared" si="106"/>
        <v>0</v>
      </c>
      <c r="M1241" s="59">
        <f t="shared" si="107"/>
        <v>0</v>
      </c>
      <c r="N1241" s="59">
        <f t="shared" si="108"/>
        <v>0</v>
      </c>
      <c r="O1241" s="59">
        <f>SUM(E1241, G1241:N1241)</f>
        <v>380243</v>
      </c>
      <c r="P1241" s="4"/>
      <c r="Q1241" s="4"/>
      <c r="R1241" s="4"/>
      <c r="T1241" s="91"/>
    </row>
    <row r="1242" spans="1:20" ht="20.25" customHeight="1">
      <c r="A1242" s="106">
        <v>1242</v>
      </c>
      <c r="B1242" s="4"/>
      <c r="C1242" s="450">
        <v>8310</v>
      </c>
      <c r="D1242" s="59" t="s">
        <v>92</v>
      </c>
      <c r="E1242" s="59">
        <f>J82</f>
        <v>0</v>
      </c>
      <c r="F1242" s="57"/>
      <c r="G1242" s="59">
        <f t="shared" si="101"/>
        <v>0</v>
      </c>
      <c r="H1242" s="59">
        <f t="shared" si="102"/>
        <v>0</v>
      </c>
      <c r="I1242" s="59">
        <f t="shared" si="103"/>
        <v>0</v>
      </c>
      <c r="J1242" s="59">
        <f t="shared" si="104"/>
        <v>0</v>
      </c>
      <c r="K1242" s="59">
        <f t="shared" si="105"/>
        <v>0</v>
      </c>
      <c r="L1242" s="59">
        <f t="shared" si="106"/>
        <v>0</v>
      </c>
      <c r="M1242" s="59">
        <f t="shared" si="107"/>
        <v>0</v>
      </c>
      <c r="N1242" s="59">
        <f t="shared" si="108"/>
        <v>0</v>
      </c>
      <c r="O1242" s="59">
        <f>SUM(E1242, G1242:N1242)</f>
        <v>0</v>
      </c>
      <c r="P1242" s="4"/>
      <c r="Q1242" s="4"/>
      <c r="R1242" s="4"/>
      <c r="T1242" s="91"/>
    </row>
    <row r="1243" spans="1:20" ht="20.25" customHeight="1">
      <c r="A1243" s="106">
        <v>1243</v>
      </c>
      <c r="B1243" s="4"/>
      <c r="C1243" s="450">
        <v>8315</v>
      </c>
      <c r="D1243" s="59" t="s">
        <v>93</v>
      </c>
      <c r="E1243" s="59">
        <f>J90</f>
        <v>46046</v>
      </c>
      <c r="F1243" s="57"/>
      <c r="G1243" s="59">
        <f t="shared" si="101"/>
        <v>0</v>
      </c>
      <c r="H1243" s="59">
        <f t="shared" si="102"/>
        <v>0</v>
      </c>
      <c r="I1243" s="59">
        <f t="shared" si="103"/>
        <v>0</v>
      </c>
      <c r="J1243" s="59">
        <f t="shared" si="104"/>
        <v>0</v>
      </c>
      <c r="K1243" s="59">
        <f t="shared" si="105"/>
        <v>0</v>
      </c>
      <c r="L1243" s="59">
        <f t="shared" si="106"/>
        <v>0</v>
      </c>
      <c r="M1243" s="59">
        <f t="shared" si="107"/>
        <v>0</v>
      </c>
      <c r="N1243" s="59">
        <f t="shared" si="108"/>
        <v>0</v>
      </c>
      <c r="O1243" s="59">
        <f>SUM(E1243, G1243:N1243)</f>
        <v>46046</v>
      </c>
      <c r="P1243" s="4"/>
      <c r="Q1243" s="4"/>
      <c r="R1243" s="4"/>
      <c r="T1243" s="91"/>
    </row>
    <row r="1244" spans="1:20" ht="20.25" customHeight="1">
      <c r="A1244" s="106">
        <v>1244</v>
      </c>
      <c r="B1244" s="4"/>
      <c r="C1244" s="450">
        <v>8320</v>
      </c>
      <c r="D1244" s="59" t="s">
        <v>94</v>
      </c>
      <c r="E1244" s="59">
        <f>J98</f>
        <v>263354</v>
      </c>
      <c r="F1244" s="59">
        <f>J482</f>
        <v>225987</v>
      </c>
      <c r="G1244" s="59">
        <f t="shared" si="101"/>
        <v>0</v>
      </c>
      <c r="H1244" s="59">
        <f t="shared" si="102"/>
        <v>0</v>
      </c>
      <c r="I1244" s="59">
        <f t="shared" si="103"/>
        <v>0</v>
      </c>
      <c r="J1244" s="59">
        <f t="shared" si="104"/>
        <v>0</v>
      </c>
      <c r="K1244" s="59">
        <f t="shared" si="105"/>
        <v>0</v>
      </c>
      <c r="L1244" s="59">
        <f t="shared" si="106"/>
        <v>0</v>
      </c>
      <c r="M1244" s="59">
        <f t="shared" si="107"/>
        <v>0</v>
      </c>
      <c r="N1244" s="59">
        <f t="shared" si="108"/>
        <v>0</v>
      </c>
      <c r="O1244" s="59">
        <f>SUM(E1244:N1244)</f>
        <v>489341</v>
      </c>
      <c r="P1244" s="4"/>
      <c r="Q1244" s="4"/>
      <c r="R1244" s="4"/>
      <c r="T1244" s="91"/>
    </row>
    <row r="1245" spans="1:20" ht="20.25" customHeight="1">
      <c r="A1245" s="106">
        <v>1245</v>
      </c>
      <c r="B1245" s="4"/>
      <c r="C1245" s="450">
        <v>8325</v>
      </c>
      <c r="D1245" s="59" t="s">
        <v>95</v>
      </c>
      <c r="E1245" s="59">
        <f>J106</f>
        <v>28977</v>
      </c>
      <c r="F1245" s="59">
        <f>J483</f>
        <v>0</v>
      </c>
      <c r="G1245" s="59">
        <f t="shared" si="101"/>
        <v>0</v>
      </c>
      <c r="H1245" s="59">
        <f t="shared" si="102"/>
        <v>0</v>
      </c>
      <c r="I1245" s="59">
        <f t="shared" si="103"/>
        <v>0</v>
      </c>
      <c r="J1245" s="59">
        <f t="shared" si="104"/>
        <v>0</v>
      </c>
      <c r="K1245" s="59">
        <f t="shared" si="105"/>
        <v>0</v>
      </c>
      <c r="L1245" s="59">
        <f t="shared" si="106"/>
        <v>0</v>
      </c>
      <c r="M1245" s="59">
        <f t="shared" si="107"/>
        <v>0</v>
      </c>
      <c r="N1245" s="59">
        <f t="shared" si="108"/>
        <v>0</v>
      </c>
      <c r="O1245" s="59">
        <f>SUM(E1245:N1245)</f>
        <v>28977</v>
      </c>
      <c r="P1245" s="4"/>
      <c r="Q1245" s="4"/>
      <c r="R1245" s="4"/>
      <c r="T1245" s="91"/>
    </row>
    <row r="1246" spans="1:20" ht="20.25" customHeight="1">
      <c r="A1246" s="106">
        <v>1246</v>
      </c>
      <c r="B1246" s="4"/>
      <c r="C1246" s="450">
        <v>8330</v>
      </c>
      <c r="D1246" s="59" t="s">
        <v>236</v>
      </c>
      <c r="E1246" s="59">
        <f>J114</f>
        <v>35992</v>
      </c>
      <c r="F1246" s="59">
        <f>J484</f>
        <v>0</v>
      </c>
      <c r="G1246" s="59">
        <f t="shared" si="101"/>
        <v>0</v>
      </c>
      <c r="H1246" s="59">
        <f t="shared" si="102"/>
        <v>0</v>
      </c>
      <c r="I1246" s="59">
        <f t="shared" si="103"/>
        <v>0</v>
      </c>
      <c r="J1246" s="59">
        <f t="shared" si="104"/>
        <v>0</v>
      </c>
      <c r="K1246" s="59">
        <f t="shared" si="105"/>
        <v>0</v>
      </c>
      <c r="L1246" s="59">
        <f t="shared" si="106"/>
        <v>0</v>
      </c>
      <c r="M1246" s="59">
        <f t="shared" si="107"/>
        <v>0</v>
      </c>
      <c r="N1246" s="59">
        <f t="shared" si="108"/>
        <v>0</v>
      </c>
      <c r="O1246" s="59">
        <f>SUM(E1246:N1246)</f>
        <v>35992</v>
      </c>
      <c r="P1246" s="4"/>
      <c r="Q1246" s="4"/>
      <c r="R1246" s="4"/>
      <c r="T1246" s="91"/>
    </row>
    <row r="1247" spans="1:20" ht="20.25" customHeight="1">
      <c r="A1247" s="106">
        <v>1247</v>
      </c>
      <c r="B1247" s="4"/>
      <c r="C1247" s="450">
        <v>8335</v>
      </c>
      <c r="D1247" s="59" t="s">
        <v>97</v>
      </c>
      <c r="E1247" s="59">
        <f>J119</f>
        <v>0</v>
      </c>
      <c r="F1247" s="59">
        <f>J485</f>
        <v>0</v>
      </c>
      <c r="G1247" s="59">
        <f t="shared" si="101"/>
        <v>0</v>
      </c>
      <c r="H1247" s="59">
        <f t="shared" si="102"/>
        <v>0</v>
      </c>
      <c r="I1247" s="59">
        <f t="shared" si="103"/>
        <v>0</v>
      </c>
      <c r="J1247" s="59">
        <f t="shared" si="104"/>
        <v>0</v>
      </c>
      <c r="K1247" s="59">
        <f t="shared" si="105"/>
        <v>0</v>
      </c>
      <c r="L1247" s="59">
        <f t="shared" si="106"/>
        <v>0</v>
      </c>
      <c r="M1247" s="59">
        <f t="shared" si="107"/>
        <v>0</v>
      </c>
      <c r="N1247" s="59">
        <f t="shared" si="108"/>
        <v>0</v>
      </c>
      <c r="O1247" s="59">
        <f>SUM(E1247:N1247)</f>
        <v>0</v>
      </c>
      <c r="P1247" s="4"/>
      <c r="Q1247" s="4"/>
      <c r="R1247" s="4"/>
      <c r="T1247" s="91"/>
    </row>
    <row r="1248" spans="1:20" ht="20.25" customHeight="1">
      <c r="A1248" s="106">
        <v>1248</v>
      </c>
      <c r="B1248" s="4"/>
      <c r="C1248" s="450">
        <v>8340</v>
      </c>
      <c r="D1248" s="59" t="s">
        <v>98</v>
      </c>
      <c r="E1248" s="59">
        <f>J124</f>
        <v>174917</v>
      </c>
      <c r="F1248" s="59">
        <f>J486</f>
        <v>0</v>
      </c>
      <c r="G1248" s="59">
        <f t="shared" si="101"/>
        <v>0</v>
      </c>
      <c r="H1248" s="59">
        <f t="shared" si="102"/>
        <v>0</v>
      </c>
      <c r="I1248" s="59">
        <f t="shared" si="103"/>
        <v>0</v>
      </c>
      <c r="J1248" s="59">
        <f t="shared" si="104"/>
        <v>0</v>
      </c>
      <c r="K1248" s="59">
        <f t="shared" si="105"/>
        <v>0</v>
      </c>
      <c r="L1248" s="59">
        <f t="shared" si="106"/>
        <v>0</v>
      </c>
      <c r="M1248" s="59">
        <f t="shared" si="107"/>
        <v>0</v>
      </c>
      <c r="N1248" s="59">
        <f t="shared" si="108"/>
        <v>0</v>
      </c>
      <c r="O1248" s="59">
        <f>SUM(E1248:N1248)</f>
        <v>174917</v>
      </c>
      <c r="P1248" s="4"/>
      <c r="Q1248" s="4"/>
      <c r="R1248" s="4"/>
      <c r="T1248" s="91"/>
    </row>
    <row r="1249" spans="1:15" ht="20.25" customHeight="1">
      <c r="A1249" s="106">
        <v>1249</v>
      </c>
      <c r="B1249" s="4"/>
      <c r="C1249" s="450">
        <v>8345</v>
      </c>
      <c r="D1249" s="59" t="s">
        <v>238</v>
      </c>
      <c r="E1249" s="59">
        <f ca="1">J132</f>
        <v>408633</v>
      </c>
      <c r="F1249" s="57"/>
      <c r="G1249" s="59">
        <f ca="1">SUM(E847:H847)</f>
        <v>0</v>
      </c>
      <c r="H1249" s="59">
        <f ca="1">I847+J847</f>
        <v>0</v>
      </c>
      <c r="I1249" s="59">
        <f ca="1">K847</f>
        <v>0</v>
      </c>
      <c r="J1249" s="59">
        <f ca="1">L847</f>
        <v>0</v>
      </c>
      <c r="K1249" s="59">
        <f ca="1">M847</f>
        <v>0</v>
      </c>
      <c r="L1249" s="156"/>
      <c r="M1249" s="57"/>
      <c r="N1249" s="59">
        <f ca="1">N847</f>
        <v>0</v>
      </c>
      <c r="O1249" s="59">
        <f ca="1">SUM(E1249, G1249:K1249, N1249)</f>
        <v>408633</v>
      </c>
    </row>
    <row r="1250" spans="1:15" ht="20.25" customHeight="1">
      <c r="A1250" s="106">
        <v>1250</v>
      </c>
      <c r="B1250" s="4"/>
      <c r="C1250" s="450">
        <v>8350</v>
      </c>
      <c r="D1250" s="59" t="s">
        <v>239</v>
      </c>
      <c r="E1250" s="59">
        <f ca="1">J140</f>
        <v>0</v>
      </c>
      <c r="F1250" s="57"/>
      <c r="G1250" s="59">
        <f ca="1">SUM(E855:H855)</f>
        <v>0</v>
      </c>
      <c r="H1250" s="59">
        <f ca="1">I855+J855</f>
        <v>0</v>
      </c>
      <c r="I1250" s="59">
        <f ca="1">K855</f>
        <v>0</v>
      </c>
      <c r="J1250" s="59">
        <f ca="1">L855</f>
        <v>0</v>
      </c>
      <c r="K1250" s="59">
        <f ca="1">M855</f>
        <v>0</v>
      </c>
      <c r="L1250" s="156"/>
      <c r="M1250" s="57"/>
      <c r="N1250" s="59">
        <f ca="1">N855</f>
        <v>0</v>
      </c>
      <c r="O1250" s="59">
        <f t="shared" ref="O1250:O1276" ca="1" si="109">SUM(E1250, G1250:K1250, N1250)</f>
        <v>0</v>
      </c>
    </row>
    <row r="1251" spans="1:15" ht="20.25" customHeight="1">
      <c r="A1251" s="106">
        <v>1251</v>
      </c>
      <c r="B1251" s="4"/>
      <c r="C1251" s="450">
        <v>8355</v>
      </c>
      <c r="D1251" s="59" t="s">
        <v>102</v>
      </c>
      <c r="E1251" s="59">
        <f ca="1">J148</f>
        <v>0</v>
      </c>
      <c r="F1251" s="57"/>
      <c r="G1251" s="59">
        <f ca="1">SUM(E863:H863)</f>
        <v>0</v>
      </c>
      <c r="H1251" s="59">
        <f ca="1">I863+J863</f>
        <v>0</v>
      </c>
      <c r="I1251" s="59">
        <f ca="1">K863</f>
        <v>0</v>
      </c>
      <c r="J1251" s="59">
        <f ca="1">L863</f>
        <v>0</v>
      </c>
      <c r="K1251" s="59">
        <f ca="1">M863</f>
        <v>0</v>
      </c>
      <c r="L1251" s="156"/>
      <c r="M1251" s="57"/>
      <c r="N1251" s="59">
        <f ca="1">N863</f>
        <v>0</v>
      </c>
      <c r="O1251" s="59">
        <f t="shared" ca="1" si="109"/>
        <v>0</v>
      </c>
    </row>
    <row r="1252" spans="1:15" ht="20.25" customHeight="1">
      <c r="A1252" s="106">
        <v>1252</v>
      </c>
      <c r="B1252" s="4"/>
      <c r="C1252" s="450">
        <v>8360</v>
      </c>
      <c r="D1252" s="59" t="s">
        <v>103</v>
      </c>
      <c r="E1252" s="59">
        <f ca="1">J156</f>
        <v>0</v>
      </c>
      <c r="F1252" s="57"/>
      <c r="G1252" s="59">
        <f ca="1">SUM(E871:H871)</f>
        <v>0</v>
      </c>
      <c r="H1252" s="59">
        <f ca="1">I871+J871</f>
        <v>0</v>
      </c>
      <c r="I1252" s="59">
        <f ca="1">K871</f>
        <v>0</v>
      </c>
      <c r="J1252" s="59">
        <f ca="1">L871</f>
        <v>0</v>
      </c>
      <c r="K1252" s="59">
        <f ca="1">M871</f>
        <v>0</v>
      </c>
      <c r="L1252" s="156"/>
      <c r="M1252" s="57"/>
      <c r="N1252" s="59">
        <f ca="1">N871</f>
        <v>0</v>
      </c>
      <c r="O1252" s="59">
        <f ca="1">SUM(E1252, G1252:K1252, N1252)</f>
        <v>0</v>
      </c>
    </row>
    <row r="1253" spans="1:15" ht="20.25" customHeight="1">
      <c r="A1253" s="106">
        <v>1253</v>
      </c>
      <c r="B1253" s="4"/>
      <c r="C1253" s="450">
        <v>8365</v>
      </c>
      <c r="D1253" s="59" t="s">
        <v>104</v>
      </c>
      <c r="E1253" s="59">
        <f ca="1">J161</f>
        <v>0</v>
      </c>
      <c r="F1253" s="57"/>
      <c r="G1253" s="59">
        <f ca="1">SUM(E876:H876)</f>
        <v>0</v>
      </c>
      <c r="H1253" s="59">
        <f ca="1">I876+J876</f>
        <v>0</v>
      </c>
      <c r="I1253" s="59">
        <f ca="1">K876</f>
        <v>0</v>
      </c>
      <c r="J1253" s="59">
        <f ca="1">L876</f>
        <v>0</v>
      </c>
      <c r="K1253" s="59">
        <f ca="1">M876</f>
        <v>0</v>
      </c>
      <c r="L1253" s="156"/>
      <c r="M1253" s="57"/>
      <c r="N1253" s="59">
        <f ca="1">N876</f>
        <v>0</v>
      </c>
      <c r="O1253" s="59">
        <f t="shared" ca="1" si="109"/>
        <v>0</v>
      </c>
    </row>
    <row r="1254" spans="1:15" ht="20.25" customHeight="1">
      <c r="A1254" s="106">
        <v>1254</v>
      </c>
      <c r="B1254" s="4"/>
      <c r="C1254" s="450">
        <v>8370</v>
      </c>
      <c r="D1254" s="59" t="s">
        <v>105</v>
      </c>
      <c r="E1254" s="59">
        <f ca="1">J163</f>
        <v>9861030</v>
      </c>
      <c r="F1254" s="57"/>
      <c r="G1254" s="59">
        <f ca="1">SUM(E878:H878)</f>
        <v>0</v>
      </c>
      <c r="H1254" s="59">
        <f ca="1">I878+J878</f>
        <v>0</v>
      </c>
      <c r="I1254" s="59">
        <f ca="1">K878</f>
        <v>0</v>
      </c>
      <c r="J1254" s="59">
        <f ca="1">L878</f>
        <v>0</v>
      </c>
      <c r="K1254" s="59">
        <f ca="1">M878</f>
        <v>0</v>
      </c>
      <c r="L1254" s="156"/>
      <c r="M1254" s="57"/>
      <c r="N1254" s="59">
        <f ca="1">N878</f>
        <v>0</v>
      </c>
      <c r="O1254" s="59">
        <f t="shared" ca="1" si="109"/>
        <v>9861030</v>
      </c>
    </row>
    <row r="1255" spans="1:15" ht="20.25" customHeight="1">
      <c r="A1255" s="106">
        <v>1255</v>
      </c>
      <c r="B1255" s="4"/>
      <c r="C1255" s="450">
        <v>8385</v>
      </c>
      <c r="D1255" s="59" t="s">
        <v>106</v>
      </c>
      <c r="E1255" s="59">
        <f ca="1">J171</f>
        <v>623928</v>
      </c>
      <c r="F1255" s="57"/>
      <c r="G1255" s="59">
        <f ca="1">SUM(E886:H886)</f>
        <v>0</v>
      </c>
      <c r="H1255" s="59">
        <f ca="1">I886+J886</f>
        <v>0</v>
      </c>
      <c r="I1255" s="59">
        <f ca="1">K886</f>
        <v>0</v>
      </c>
      <c r="J1255" s="59">
        <f ca="1">L886</f>
        <v>0</v>
      </c>
      <c r="K1255" s="59">
        <f ca="1">M886</f>
        <v>0</v>
      </c>
      <c r="L1255" s="156"/>
      <c r="M1255" s="57"/>
      <c r="N1255" s="59">
        <f ca="1">N886</f>
        <v>0</v>
      </c>
      <c r="O1255" s="59">
        <f t="shared" ca="1" si="109"/>
        <v>623928</v>
      </c>
    </row>
    <row r="1256" spans="1:15" ht="20.25" customHeight="1">
      <c r="A1256" s="106">
        <v>1256</v>
      </c>
      <c r="B1256" s="4"/>
      <c r="C1256" s="450">
        <v>8391</v>
      </c>
      <c r="D1256" s="59" t="s">
        <v>108</v>
      </c>
      <c r="E1256" s="59">
        <f ca="1">J176</f>
        <v>36820</v>
      </c>
      <c r="F1256" s="57"/>
      <c r="G1256" s="59">
        <f ca="1">SUM(E891:H891)</f>
        <v>0</v>
      </c>
      <c r="H1256" s="59">
        <f ca="1">I891+J891</f>
        <v>0</v>
      </c>
      <c r="I1256" s="59">
        <f ca="1">K891</f>
        <v>0</v>
      </c>
      <c r="J1256" s="59">
        <f ca="1">L891</f>
        <v>0</v>
      </c>
      <c r="K1256" s="59">
        <f ca="1">M891</f>
        <v>0</v>
      </c>
      <c r="L1256" s="156"/>
      <c r="M1256" s="57"/>
      <c r="N1256" s="59">
        <f ca="1">N891</f>
        <v>0</v>
      </c>
      <c r="O1256" s="59">
        <f t="shared" ca="1" si="109"/>
        <v>36820</v>
      </c>
    </row>
    <row r="1257" spans="1:15" ht="20.25" customHeight="1">
      <c r="A1257" s="106">
        <v>1257</v>
      </c>
      <c r="B1257" s="4"/>
      <c r="C1257" s="450">
        <v>8392</v>
      </c>
      <c r="D1257" s="59" t="s">
        <v>109</v>
      </c>
      <c r="E1257" s="59">
        <f ca="1">J180</f>
        <v>312174</v>
      </c>
      <c r="F1257" s="57"/>
      <c r="G1257" s="59">
        <f ca="1">SUM(E895:H895)</f>
        <v>0</v>
      </c>
      <c r="H1257" s="59">
        <f ca="1">I895+J895</f>
        <v>0</v>
      </c>
      <c r="I1257" s="59">
        <f ca="1">K895</f>
        <v>0</v>
      </c>
      <c r="J1257" s="59">
        <f ca="1">L895</f>
        <v>0</v>
      </c>
      <c r="K1257" s="59">
        <f ca="1">M895</f>
        <v>0</v>
      </c>
      <c r="L1257" s="156"/>
      <c r="M1257" s="57"/>
      <c r="N1257" s="59">
        <f ca="1">N895</f>
        <v>0</v>
      </c>
      <c r="O1257" s="59">
        <f t="shared" ca="1" si="109"/>
        <v>312174</v>
      </c>
    </row>
    <row r="1258" spans="1:15" ht="20.25" customHeight="1">
      <c r="A1258" s="106">
        <v>1258</v>
      </c>
      <c r="B1258" s="4"/>
      <c r="C1258" s="450">
        <v>8395</v>
      </c>
      <c r="D1258" s="59" t="s">
        <v>242</v>
      </c>
      <c r="E1258" s="59">
        <f ca="1">J184</f>
        <v>1157114</v>
      </c>
      <c r="F1258" s="57"/>
      <c r="G1258" s="59">
        <f ca="1">SUM(E899:H899)</f>
        <v>0</v>
      </c>
      <c r="H1258" s="59">
        <f ca="1">I899+J899</f>
        <v>0</v>
      </c>
      <c r="I1258" s="59">
        <f ca="1">K899</f>
        <v>0</v>
      </c>
      <c r="J1258" s="59">
        <f ca="1">L899</f>
        <v>0</v>
      </c>
      <c r="K1258" s="59">
        <f ca="1">M899</f>
        <v>0</v>
      </c>
      <c r="L1258" s="156"/>
      <c r="M1258" s="57"/>
      <c r="N1258" s="59">
        <f ca="1">N899</f>
        <v>0</v>
      </c>
      <c r="O1258" s="59">
        <f t="shared" ca="1" si="109"/>
        <v>1157114</v>
      </c>
    </row>
    <row r="1259" spans="1:15" ht="20.25" customHeight="1">
      <c r="A1259" s="106">
        <v>1259</v>
      </c>
      <c r="B1259" s="4"/>
      <c r="C1259" s="450">
        <v>8400</v>
      </c>
      <c r="D1259" s="59" t="s">
        <v>111</v>
      </c>
      <c r="E1259" s="59">
        <f ca="1">J189</f>
        <v>0</v>
      </c>
      <c r="F1259" s="59">
        <f ca="1">J487</f>
        <v>0</v>
      </c>
      <c r="G1259" s="59">
        <f ca="1">SUM(E904:H904)</f>
        <v>0</v>
      </c>
      <c r="H1259" s="59">
        <f ca="1">I904+J904</f>
        <v>0</v>
      </c>
      <c r="I1259" s="59">
        <f ca="1">K904</f>
        <v>0</v>
      </c>
      <c r="J1259" s="59">
        <f ca="1">L904</f>
        <v>0</v>
      </c>
      <c r="K1259" s="59">
        <f ca="1">M904</f>
        <v>0</v>
      </c>
      <c r="L1259" s="156"/>
      <c r="M1259" s="57"/>
      <c r="N1259" s="59">
        <f ca="1">N904</f>
        <v>0</v>
      </c>
      <c r="O1259" s="59">
        <f t="shared" ca="1" si="109"/>
        <v>0</v>
      </c>
    </row>
    <row r="1260" spans="1:15" ht="20.25" customHeight="1">
      <c r="A1260" s="106">
        <v>1260</v>
      </c>
      <c r="B1260" s="4"/>
      <c r="C1260" s="450">
        <v>8401</v>
      </c>
      <c r="D1260" s="59" t="s">
        <v>112</v>
      </c>
      <c r="E1260" s="59">
        <f ca="1">J194</f>
        <v>0</v>
      </c>
      <c r="F1260" s="57"/>
      <c r="G1260" s="59">
        <f ca="1">SUM(E909:H909)</f>
        <v>0</v>
      </c>
      <c r="H1260" s="59">
        <f ca="1">I909+J909</f>
        <v>0</v>
      </c>
      <c r="I1260" s="59">
        <f ca="1">K909</f>
        <v>0</v>
      </c>
      <c r="J1260" s="59">
        <f ca="1">L909</f>
        <v>0</v>
      </c>
      <c r="K1260" s="59">
        <f ca="1">M909</f>
        <v>0</v>
      </c>
      <c r="L1260" s="156"/>
      <c r="M1260" s="57"/>
      <c r="N1260" s="59">
        <f ca="1">N909</f>
        <v>0</v>
      </c>
      <c r="O1260" s="59">
        <f t="shared" ca="1" si="109"/>
        <v>0</v>
      </c>
    </row>
    <row r="1261" spans="1:15" ht="20.25" customHeight="1">
      <c r="A1261" s="106">
        <v>1261</v>
      </c>
      <c r="B1261" s="4"/>
      <c r="C1261" s="450">
        <v>8405</v>
      </c>
      <c r="D1261" s="59" t="s">
        <v>113</v>
      </c>
      <c r="E1261" s="59">
        <f ca="1">J202</f>
        <v>0</v>
      </c>
      <c r="F1261" s="57"/>
      <c r="G1261" s="59">
        <f ca="1">SUM(E917:H917)</f>
        <v>0</v>
      </c>
      <c r="H1261" s="59">
        <f ca="1">I917+J917</f>
        <v>0</v>
      </c>
      <c r="I1261" s="59">
        <f ca="1">K917</f>
        <v>0</v>
      </c>
      <c r="J1261" s="59">
        <f ca="1">L917</f>
        <v>0</v>
      </c>
      <c r="K1261" s="59">
        <f ca="1">M917</f>
        <v>0</v>
      </c>
      <c r="L1261" s="156"/>
      <c r="M1261" s="57"/>
      <c r="N1261" s="59">
        <f ca="1">N917</f>
        <v>0</v>
      </c>
      <c r="O1261" s="59">
        <f t="shared" ca="1" si="109"/>
        <v>0</v>
      </c>
    </row>
    <row r="1262" spans="1:15" ht="20.25" customHeight="1">
      <c r="A1262" s="106">
        <v>1262</v>
      </c>
      <c r="B1262" s="4"/>
      <c r="C1262" s="450">
        <v>8409</v>
      </c>
      <c r="D1262" s="59" t="s">
        <v>114</v>
      </c>
      <c r="E1262" s="59">
        <f ca="1">J208</f>
        <v>0</v>
      </c>
      <c r="F1262" s="57"/>
      <c r="G1262" s="59">
        <f ca="1">SUM(E923:H923)</f>
        <v>0</v>
      </c>
      <c r="H1262" s="59">
        <f ca="1">I923+J923</f>
        <v>0</v>
      </c>
      <c r="I1262" s="59">
        <f ca="1">K923</f>
        <v>0</v>
      </c>
      <c r="J1262" s="59">
        <f ca="1">L923</f>
        <v>0</v>
      </c>
      <c r="K1262" s="59">
        <f ca="1">M923</f>
        <v>0</v>
      </c>
      <c r="L1262" s="156"/>
      <c r="M1262" s="57"/>
      <c r="N1262" s="59">
        <f ca="1">N923</f>
        <v>0</v>
      </c>
      <c r="O1262" s="59">
        <f t="shared" ca="1" si="109"/>
        <v>0</v>
      </c>
    </row>
    <row r="1263" spans="1:15" ht="20.25" customHeight="1">
      <c r="A1263" s="106">
        <v>1263</v>
      </c>
      <c r="B1263" s="4"/>
      <c r="C1263" s="450">
        <v>8413</v>
      </c>
      <c r="D1263" s="59" t="s">
        <v>565</v>
      </c>
      <c r="E1263" s="59">
        <f ca="1">J210</f>
        <v>0</v>
      </c>
      <c r="F1263" s="57"/>
      <c r="G1263" s="59">
        <f ca="1">SUM(E925:H925)</f>
        <v>0</v>
      </c>
      <c r="H1263" s="59">
        <f ca="1">I925+J925</f>
        <v>0</v>
      </c>
      <c r="I1263" s="59">
        <f ca="1">K925</f>
        <v>0</v>
      </c>
      <c r="J1263" s="59">
        <f ca="1">L925</f>
        <v>0</v>
      </c>
      <c r="K1263" s="59">
        <f ca="1">M925</f>
        <v>0</v>
      </c>
      <c r="L1263" s="156"/>
      <c r="M1263" s="57"/>
      <c r="N1263" s="59">
        <f ca="1">N925</f>
        <v>0</v>
      </c>
      <c r="O1263" s="59">
        <f t="shared" ca="1" si="109"/>
        <v>0</v>
      </c>
    </row>
    <row r="1264" spans="1:15" ht="20.25" customHeight="1">
      <c r="A1264" s="106">
        <v>1264</v>
      </c>
      <c r="B1264" s="4"/>
      <c r="C1264" s="450">
        <v>8417</v>
      </c>
      <c r="D1264" s="59" t="s">
        <v>566</v>
      </c>
      <c r="E1264" s="59">
        <f ca="1">J216</f>
        <v>0</v>
      </c>
      <c r="F1264" s="57"/>
      <c r="G1264" s="59">
        <f ca="1">SUM(E931:H931)</f>
        <v>0</v>
      </c>
      <c r="H1264" s="59">
        <f ca="1">I931+J931</f>
        <v>0</v>
      </c>
      <c r="I1264" s="59">
        <f ca="1">K931</f>
        <v>0</v>
      </c>
      <c r="J1264" s="59">
        <f ca="1">L931</f>
        <v>0</v>
      </c>
      <c r="K1264" s="59">
        <f ca="1">M931</f>
        <v>0</v>
      </c>
      <c r="L1264" s="156"/>
      <c r="M1264" s="57"/>
      <c r="N1264" s="59">
        <f ca="1">N931</f>
        <v>0</v>
      </c>
      <c r="O1264" s="59">
        <f t="shared" ca="1" si="109"/>
        <v>0</v>
      </c>
    </row>
    <row r="1265" spans="1:15" ht="20.25" customHeight="1">
      <c r="A1265" s="106">
        <v>1265</v>
      </c>
      <c r="B1265" s="4"/>
      <c r="C1265" s="450">
        <v>8421</v>
      </c>
      <c r="D1265" s="59" t="s">
        <v>567</v>
      </c>
      <c r="E1265" s="59">
        <f ca="1">J221</f>
        <v>26495</v>
      </c>
      <c r="F1265" s="57"/>
      <c r="G1265" s="59">
        <f ca="1">SUM(E936:H936)</f>
        <v>0</v>
      </c>
      <c r="H1265" s="59">
        <f ca="1">I936+J936</f>
        <v>0</v>
      </c>
      <c r="I1265" s="59">
        <f ca="1">K936</f>
        <v>0</v>
      </c>
      <c r="J1265" s="59">
        <f ca="1">L936</f>
        <v>0</v>
      </c>
      <c r="K1265" s="59">
        <f ca="1">M936</f>
        <v>0</v>
      </c>
      <c r="L1265" s="156"/>
      <c r="M1265" s="57"/>
      <c r="N1265" s="59">
        <f ca="1">N936</f>
        <v>0</v>
      </c>
      <c r="O1265" s="59">
        <f t="shared" ca="1" si="109"/>
        <v>26495</v>
      </c>
    </row>
    <row r="1266" spans="1:15" ht="20.25" customHeight="1">
      <c r="A1266" s="106">
        <v>1266</v>
      </c>
      <c r="B1266" s="4"/>
      <c r="C1266" s="450">
        <v>8425</v>
      </c>
      <c r="D1266" s="59" t="s">
        <v>118</v>
      </c>
      <c r="E1266" s="59">
        <f ca="1">J223</f>
        <v>4281</v>
      </c>
      <c r="F1266" s="57"/>
      <c r="G1266" s="59">
        <f ca="1">SUM(E938:H938)</f>
        <v>0</v>
      </c>
      <c r="H1266" s="59">
        <f ca="1">I938+J938</f>
        <v>0</v>
      </c>
      <c r="I1266" s="59">
        <f ca="1">K938</f>
        <v>0</v>
      </c>
      <c r="J1266" s="59">
        <f ca="1">L938</f>
        <v>0</v>
      </c>
      <c r="K1266" s="59">
        <f ca="1">M938</f>
        <v>0</v>
      </c>
      <c r="L1266" s="156"/>
      <c r="M1266" s="57"/>
      <c r="N1266" s="59">
        <f ca="1">N938</f>
        <v>0</v>
      </c>
      <c r="O1266" s="59">
        <f t="shared" ca="1" si="109"/>
        <v>4281</v>
      </c>
    </row>
    <row r="1267" spans="1:15" ht="20.25" customHeight="1">
      <c r="A1267" s="106">
        <v>1267</v>
      </c>
      <c r="B1267" s="4"/>
      <c r="C1267" s="450">
        <v>8430</v>
      </c>
      <c r="D1267" s="59" t="s">
        <v>119</v>
      </c>
      <c r="E1267" s="59">
        <f ca="1">J228</f>
        <v>81277</v>
      </c>
      <c r="F1267" s="78">
        <f ca="1">J488</f>
        <v>0</v>
      </c>
      <c r="G1267" s="59">
        <f ca="1">SUM(E943:H943)</f>
        <v>0</v>
      </c>
      <c r="H1267" s="59">
        <f ca="1">I943+J943</f>
        <v>0</v>
      </c>
      <c r="I1267" s="59">
        <f ca="1">K943</f>
        <v>0</v>
      </c>
      <c r="J1267" s="59">
        <f ca="1">L943</f>
        <v>0</v>
      </c>
      <c r="K1267" s="59">
        <f ca="1">M943</f>
        <v>0</v>
      </c>
      <c r="L1267" s="156"/>
      <c r="M1267" s="57"/>
      <c r="N1267" s="59">
        <f ca="1">N943</f>
        <v>0</v>
      </c>
      <c r="O1267" s="59">
        <f ca="1">SUM(E1267:F1267, G1267:K1267, N1267)</f>
        <v>81277</v>
      </c>
    </row>
    <row r="1268" spans="1:15" ht="20.25" customHeight="1">
      <c r="A1268" s="106">
        <v>1268</v>
      </c>
      <c r="B1268" s="4"/>
      <c r="C1268" s="450">
        <v>8435</v>
      </c>
      <c r="D1268" s="59" t="s">
        <v>120</v>
      </c>
      <c r="E1268" s="59">
        <f ca="1">J233</f>
        <v>54470</v>
      </c>
      <c r="F1268" s="11"/>
      <c r="G1268" s="59">
        <f ca="1">SUM(E948:H948)</f>
        <v>0</v>
      </c>
      <c r="H1268" s="59">
        <f ca="1">I948+J948</f>
        <v>0</v>
      </c>
      <c r="I1268" s="59">
        <f ca="1">K948</f>
        <v>0</v>
      </c>
      <c r="J1268" s="59">
        <f ca="1">L948</f>
        <v>0</v>
      </c>
      <c r="K1268" s="59">
        <f ca="1">M948</f>
        <v>0</v>
      </c>
      <c r="L1268" s="156"/>
      <c r="M1268" s="57"/>
      <c r="N1268" s="59">
        <f ca="1">N948</f>
        <v>0</v>
      </c>
      <c r="O1268" s="59">
        <f t="shared" ca="1" si="109"/>
        <v>54470</v>
      </c>
    </row>
    <row r="1269" spans="1:15" ht="20.25" customHeight="1">
      <c r="A1269" s="106">
        <v>1269</v>
      </c>
      <c r="B1269" s="4"/>
      <c r="C1269" s="450">
        <v>8440</v>
      </c>
      <c r="D1269" s="59" t="s">
        <v>121</v>
      </c>
      <c r="E1269" s="59">
        <f ca="1">J235</f>
        <v>60898</v>
      </c>
      <c r="F1269" s="11"/>
      <c r="G1269" s="59">
        <f ca="1">SUM(E950:H950)</f>
        <v>0</v>
      </c>
      <c r="H1269" s="59">
        <f ca="1">I950+J950</f>
        <v>0</v>
      </c>
      <c r="I1269" s="59">
        <f ca="1">K950</f>
        <v>0</v>
      </c>
      <c r="J1269" s="59">
        <f ca="1">L950</f>
        <v>0</v>
      </c>
      <c r="K1269" s="59">
        <f ca="1">M950</f>
        <v>0</v>
      </c>
      <c r="L1269" s="156"/>
      <c r="M1269" s="57"/>
      <c r="N1269" s="59">
        <f ca="1">N950</f>
        <v>0</v>
      </c>
      <c r="O1269" s="59">
        <f t="shared" ca="1" si="109"/>
        <v>60898</v>
      </c>
    </row>
    <row r="1270" spans="1:15" ht="20.25" customHeight="1">
      <c r="A1270" s="106">
        <v>1270</v>
      </c>
      <c r="B1270" s="4"/>
      <c r="C1270" s="450">
        <v>8445</v>
      </c>
      <c r="D1270" s="59" t="s">
        <v>122</v>
      </c>
      <c r="E1270" s="59">
        <f ca="1">J241</f>
        <v>20845</v>
      </c>
      <c r="F1270" s="11"/>
      <c r="G1270" s="59">
        <f ca="1">SUM(E956:H956)</f>
        <v>0</v>
      </c>
      <c r="H1270" s="59">
        <f ca="1">I956+J956</f>
        <v>0</v>
      </c>
      <c r="I1270" s="59">
        <f ca="1">K956</f>
        <v>0</v>
      </c>
      <c r="J1270" s="59">
        <f ca="1">L956</f>
        <v>0</v>
      </c>
      <c r="K1270" s="59">
        <f ca="1">M956</f>
        <v>0</v>
      </c>
      <c r="L1270" s="156"/>
      <c r="M1270" s="57"/>
      <c r="N1270" s="59">
        <f ca="1">N956</f>
        <v>0</v>
      </c>
      <c r="O1270" s="59">
        <f t="shared" ca="1" si="109"/>
        <v>20845</v>
      </c>
    </row>
    <row r="1271" spans="1:15" ht="20.25" customHeight="1">
      <c r="A1271" s="106">
        <v>1271</v>
      </c>
      <c r="B1271" s="4"/>
      <c r="C1271" s="450">
        <v>8450</v>
      </c>
      <c r="D1271" s="59" t="s">
        <v>123</v>
      </c>
      <c r="E1271" s="59">
        <f ca="1">J246</f>
        <v>60721</v>
      </c>
      <c r="F1271" s="11"/>
      <c r="G1271" s="59">
        <f ca="1">SUM(E961:H961)</f>
        <v>0</v>
      </c>
      <c r="H1271" s="59">
        <f ca="1">I961+J961</f>
        <v>0</v>
      </c>
      <c r="I1271" s="59">
        <f ca="1">K961</f>
        <v>0</v>
      </c>
      <c r="J1271" s="59">
        <f ca="1">L961</f>
        <v>0</v>
      </c>
      <c r="K1271" s="59">
        <f ca="1">M961</f>
        <v>0</v>
      </c>
      <c r="L1271" s="156"/>
      <c r="M1271" s="57"/>
      <c r="N1271" s="59">
        <f ca="1">N961</f>
        <v>0</v>
      </c>
      <c r="O1271" s="59">
        <f t="shared" ca="1" si="109"/>
        <v>60721</v>
      </c>
    </row>
    <row r="1272" spans="1:15" ht="20.25" customHeight="1">
      <c r="A1272" s="106">
        <v>1272</v>
      </c>
      <c r="B1272" s="4"/>
      <c r="C1272" s="450">
        <v>8455</v>
      </c>
      <c r="D1272" s="59" t="s">
        <v>124</v>
      </c>
      <c r="E1272" s="59">
        <f ca="1">J251</f>
        <v>0</v>
      </c>
      <c r="F1272" s="11"/>
      <c r="G1272" s="59">
        <f ca="1">SUM(E966:H966)</f>
        <v>0</v>
      </c>
      <c r="H1272" s="59">
        <f ca="1">I966+J966</f>
        <v>0</v>
      </c>
      <c r="I1272" s="59">
        <f ca="1">K966</f>
        <v>0</v>
      </c>
      <c r="J1272" s="59">
        <f ca="1">L966</f>
        <v>0</v>
      </c>
      <c r="K1272" s="59">
        <f ca="1">M966</f>
        <v>0</v>
      </c>
      <c r="L1272" s="156"/>
      <c r="M1272" s="57"/>
      <c r="N1272" s="59">
        <f ca="1">N966</f>
        <v>0</v>
      </c>
      <c r="O1272" s="59">
        <f t="shared" ca="1" si="109"/>
        <v>0</v>
      </c>
    </row>
    <row r="1273" spans="1:15" ht="20.25" customHeight="1">
      <c r="A1273" s="106">
        <v>1273</v>
      </c>
      <c r="B1273" s="4"/>
      <c r="C1273" s="450">
        <v>8460</v>
      </c>
      <c r="D1273" s="59" t="s">
        <v>125</v>
      </c>
      <c r="E1273" s="59">
        <f ca="1">J256</f>
        <v>2866</v>
      </c>
      <c r="F1273" s="57"/>
      <c r="G1273" s="59">
        <f ca="1">SUM(E971:H971)</f>
        <v>0</v>
      </c>
      <c r="H1273" s="59">
        <f ca="1">I971+J971</f>
        <v>0</v>
      </c>
      <c r="I1273" s="59">
        <f ca="1">K971</f>
        <v>0</v>
      </c>
      <c r="J1273" s="59">
        <f ca="1">L971</f>
        <v>0</v>
      </c>
      <c r="K1273" s="59">
        <f ca="1">M971</f>
        <v>0</v>
      </c>
      <c r="L1273" s="156"/>
      <c r="M1273" s="57"/>
      <c r="N1273" s="59">
        <f ca="1">N971</f>
        <v>0</v>
      </c>
      <c r="O1273" s="59">
        <f t="shared" ca="1" si="109"/>
        <v>2866</v>
      </c>
    </row>
    <row r="1274" spans="1:15" ht="20.25" customHeight="1">
      <c r="A1274" s="106">
        <v>1274</v>
      </c>
      <c r="B1274" s="4"/>
      <c r="C1274" s="450">
        <v>8465</v>
      </c>
      <c r="D1274" s="59" t="s">
        <v>244</v>
      </c>
      <c r="E1274" s="59">
        <f ca="1">J264</f>
        <v>598390</v>
      </c>
      <c r="F1274" s="11"/>
      <c r="G1274" s="59">
        <f ca="1">SUM(E979:H979)</f>
        <v>0</v>
      </c>
      <c r="H1274" s="59">
        <f ca="1">I979+J979</f>
        <v>0</v>
      </c>
      <c r="I1274" s="59">
        <f ca="1">K979</f>
        <v>0</v>
      </c>
      <c r="J1274" s="59">
        <f ca="1">L979</f>
        <v>0</v>
      </c>
      <c r="K1274" s="59">
        <f ca="1">M979</f>
        <v>0</v>
      </c>
      <c r="L1274" s="156"/>
      <c r="M1274" s="57"/>
      <c r="N1274" s="59">
        <f ca="1">N979</f>
        <v>0</v>
      </c>
      <c r="O1274" s="59">
        <f t="shared" ca="1" si="109"/>
        <v>598390</v>
      </c>
    </row>
    <row r="1275" spans="1:15" ht="20.25" customHeight="1">
      <c r="A1275" s="106">
        <v>1275</v>
      </c>
      <c r="B1275" s="4"/>
      <c r="C1275" s="450">
        <v>8470</v>
      </c>
      <c r="D1275" s="59" t="s">
        <v>127</v>
      </c>
      <c r="E1275" s="59">
        <f ca="1">J272</f>
        <v>0</v>
      </c>
      <c r="F1275" s="11"/>
      <c r="G1275" s="59">
        <f ca="1">SUM(E987:H987)</f>
        <v>0</v>
      </c>
      <c r="H1275" s="59">
        <f ca="1">I987+J987</f>
        <v>0</v>
      </c>
      <c r="I1275" s="59">
        <f ca="1">K987</f>
        <v>0</v>
      </c>
      <c r="J1275" s="59">
        <f ca="1">L987</f>
        <v>0</v>
      </c>
      <c r="K1275" s="59">
        <f ca="1">M987</f>
        <v>0</v>
      </c>
      <c r="L1275" s="156"/>
      <c r="M1275" s="57"/>
      <c r="N1275" s="59">
        <f ca="1">N987</f>
        <v>0</v>
      </c>
      <c r="O1275" s="59">
        <f t="shared" ca="1" si="109"/>
        <v>0</v>
      </c>
    </row>
    <row r="1276" spans="1:15" ht="20.25" customHeight="1">
      <c r="A1276" s="106">
        <v>1276</v>
      </c>
      <c r="B1276" s="4"/>
      <c r="C1276" s="450">
        <v>8475</v>
      </c>
      <c r="D1276" s="59" t="s">
        <v>128</v>
      </c>
      <c r="E1276" s="59">
        <f ca="1">J280</f>
        <v>355323</v>
      </c>
      <c r="F1276" s="11"/>
      <c r="G1276" s="59">
        <f ca="1">SUM(E995:H995)</f>
        <v>0</v>
      </c>
      <c r="H1276" s="59">
        <f ca="1">I995+J995</f>
        <v>0</v>
      </c>
      <c r="I1276" s="59">
        <f ca="1">K995</f>
        <v>0</v>
      </c>
      <c r="J1276" s="59">
        <f ca="1">L995</f>
        <v>0</v>
      </c>
      <c r="K1276" s="59">
        <f ca="1">M995</f>
        <v>0</v>
      </c>
      <c r="L1276" s="156"/>
      <c r="M1276" s="57"/>
      <c r="N1276" s="59">
        <f ca="1">N995</f>
        <v>0</v>
      </c>
      <c r="O1276" s="59">
        <f t="shared" ca="1" si="109"/>
        <v>355323</v>
      </c>
    </row>
    <row r="1277" spans="1:15" ht="20.25" customHeight="1">
      <c r="A1277" s="106">
        <v>1277</v>
      </c>
      <c r="B1277" s="4"/>
      <c r="C1277" s="450">
        <v>8480</v>
      </c>
      <c r="D1277" s="60" t="s">
        <v>245</v>
      </c>
      <c r="E1277" s="60">
        <f ca="1">SUM(E1249:E1276)</f>
        <v>13665265</v>
      </c>
      <c r="F1277" s="60">
        <f ca="1">SUM(F1259,F1267)</f>
        <v>0</v>
      </c>
      <c r="G1277" s="60">
        <f ca="1">SUM(G1249:G1276)</f>
        <v>0</v>
      </c>
      <c r="H1277" s="60">
        <f ca="1">SUM(H1249:H1276)</f>
        <v>0</v>
      </c>
      <c r="I1277" s="60">
        <f ca="1">SUM(I1249:I1276)</f>
        <v>0</v>
      </c>
      <c r="J1277" s="60">
        <f ca="1">SUM(J1249:J1276)</f>
        <v>0</v>
      </c>
      <c r="K1277" s="60">
        <f ca="1">SUM(K1249:K1276)</f>
        <v>0</v>
      </c>
      <c r="L1277" s="157"/>
      <c r="M1277" s="57"/>
      <c r="N1277" s="60">
        <f ca="1">SUM(N1249:N1276)</f>
        <v>0</v>
      </c>
      <c r="O1277" s="60">
        <f ca="1">SUM(E1277:K1277, N1277)</f>
        <v>13665265</v>
      </c>
    </row>
    <row r="1278" spans="1:15" ht="20.25" customHeight="1">
      <c r="A1278" s="106">
        <v>1278</v>
      </c>
      <c r="B1278" s="4"/>
      <c r="C1278" s="450">
        <v>8485</v>
      </c>
      <c r="D1278" s="59" t="s">
        <v>129</v>
      </c>
      <c r="E1278" s="59">
        <f>J288</f>
        <v>0</v>
      </c>
      <c r="F1278" s="11"/>
      <c r="G1278" s="59">
        <f t="shared" ref="G1278:G1318" si="110">SUM(E587:H587)</f>
        <v>0</v>
      </c>
      <c r="H1278" s="59">
        <f t="shared" ref="H1278:H1316" si="111">I587+J587</f>
        <v>0</v>
      </c>
      <c r="I1278" s="59">
        <f t="shared" ref="I1278:I1305" si="112">K587</f>
        <v>0</v>
      </c>
      <c r="J1278" s="59">
        <f t="shared" ref="J1278:J1305" si="113">L587</f>
        <v>0</v>
      </c>
      <c r="K1278" s="59">
        <f t="shared" ref="K1278:K1305" si="114">M587</f>
        <v>0</v>
      </c>
      <c r="L1278" s="59">
        <f t="shared" ref="L1278:L1305" si="115">N587</f>
        <v>0</v>
      </c>
      <c r="M1278" s="59">
        <f t="shared" ref="M1278:M1305" si="116">O587</f>
        <v>0</v>
      </c>
      <c r="N1278" s="59">
        <f t="shared" ref="N1278:N1305" si="117">P587</f>
        <v>0</v>
      </c>
      <c r="O1278" s="59">
        <f>SUM(E1278, G1278:N1278)</f>
        <v>0</v>
      </c>
    </row>
    <row r="1279" spans="1:15" ht="20.25" customHeight="1">
      <c r="A1279" s="106">
        <v>1279</v>
      </c>
      <c r="B1279" s="4"/>
      <c r="C1279" s="450">
        <v>8490</v>
      </c>
      <c r="D1279" s="59" t="s">
        <v>130</v>
      </c>
      <c r="E1279" s="59">
        <f>J296</f>
        <v>248493</v>
      </c>
      <c r="F1279" s="59">
        <f>J489</f>
        <v>0</v>
      </c>
      <c r="G1279" s="59">
        <f t="shared" si="110"/>
        <v>0</v>
      </c>
      <c r="H1279" s="59">
        <f t="shared" si="111"/>
        <v>32851</v>
      </c>
      <c r="I1279" s="59">
        <f t="shared" si="112"/>
        <v>0</v>
      </c>
      <c r="J1279" s="59">
        <f t="shared" si="113"/>
        <v>0</v>
      </c>
      <c r="K1279" s="59">
        <f t="shared" si="114"/>
        <v>0</v>
      </c>
      <c r="L1279" s="59">
        <f t="shared" si="115"/>
        <v>0</v>
      </c>
      <c r="M1279" s="59">
        <f t="shared" si="116"/>
        <v>0</v>
      </c>
      <c r="N1279" s="59">
        <f t="shared" si="117"/>
        <v>0</v>
      </c>
      <c r="O1279" s="59">
        <f>SUM(E1279:N1279)</f>
        <v>281344</v>
      </c>
    </row>
    <row r="1280" spans="1:15" ht="20.25" customHeight="1">
      <c r="A1280" s="106">
        <v>1280</v>
      </c>
      <c r="B1280" s="4"/>
      <c r="C1280" s="450">
        <v>8495</v>
      </c>
      <c r="D1280" s="59" t="s">
        <v>131</v>
      </c>
      <c r="E1280" s="59">
        <f>J304</f>
        <v>1318927</v>
      </c>
      <c r="F1280" s="59">
        <f>J490</f>
        <v>0</v>
      </c>
      <c r="G1280" s="59">
        <f t="shared" si="110"/>
        <v>0</v>
      </c>
      <c r="H1280" s="59">
        <f t="shared" si="111"/>
        <v>0</v>
      </c>
      <c r="I1280" s="59">
        <f t="shared" si="112"/>
        <v>0</v>
      </c>
      <c r="J1280" s="59">
        <f t="shared" si="113"/>
        <v>0</v>
      </c>
      <c r="K1280" s="59">
        <f t="shared" si="114"/>
        <v>0</v>
      </c>
      <c r="L1280" s="59">
        <f t="shared" si="115"/>
        <v>0</v>
      </c>
      <c r="M1280" s="59">
        <f t="shared" si="116"/>
        <v>0</v>
      </c>
      <c r="N1280" s="59">
        <f t="shared" si="117"/>
        <v>0</v>
      </c>
      <c r="O1280" s="59">
        <f>SUM(E1280:N1280)</f>
        <v>1318927</v>
      </c>
    </row>
    <row r="1281" spans="1:15" ht="20.25" customHeight="1">
      <c r="A1281" s="106">
        <v>1281</v>
      </c>
      <c r="B1281" s="4"/>
      <c r="C1281" s="450">
        <v>8500</v>
      </c>
      <c r="D1281" s="59" t="s">
        <v>132</v>
      </c>
      <c r="E1281" s="59">
        <f>J312</f>
        <v>0</v>
      </c>
      <c r="F1281" s="11"/>
      <c r="G1281" s="59">
        <f t="shared" si="110"/>
        <v>0</v>
      </c>
      <c r="H1281" s="59">
        <f t="shared" si="111"/>
        <v>0</v>
      </c>
      <c r="I1281" s="59">
        <f t="shared" si="112"/>
        <v>0</v>
      </c>
      <c r="J1281" s="59">
        <f t="shared" si="113"/>
        <v>0</v>
      </c>
      <c r="K1281" s="59">
        <f t="shared" si="114"/>
        <v>0</v>
      </c>
      <c r="L1281" s="59">
        <f t="shared" si="115"/>
        <v>0</v>
      </c>
      <c r="M1281" s="59">
        <f t="shared" si="116"/>
        <v>0</v>
      </c>
      <c r="N1281" s="59">
        <f t="shared" si="117"/>
        <v>0</v>
      </c>
      <c r="O1281" s="59">
        <f>SUM(E1281, G1281:N1281)</f>
        <v>0</v>
      </c>
    </row>
    <row r="1282" spans="1:15" ht="20.25" customHeight="1">
      <c r="A1282" s="106">
        <v>1282</v>
      </c>
      <c r="B1282" s="4"/>
      <c r="C1282" s="450">
        <v>8505</v>
      </c>
      <c r="D1282" s="59" t="s">
        <v>134</v>
      </c>
      <c r="E1282" s="59">
        <f>J320</f>
        <v>296561</v>
      </c>
      <c r="F1282" s="11"/>
      <c r="G1282" s="59">
        <f t="shared" si="110"/>
        <v>0</v>
      </c>
      <c r="H1282" s="59">
        <f t="shared" si="111"/>
        <v>0</v>
      </c>
      <c r="I1282" s="59">
        <f t="shared" si="112"/>
        <v>0</v>
      </c>
      <c r="J1282" s="59">
        <f t="shared" si="113"/>
        <v>0</v>
      </c>
      <c r="K1282" s="59">
        <f t="shared" si="114"/>
        <v>0</v>
      </c>
      <c r="L1282" s="59">
        <f t="shared" si="115"/>
        <v>0</v>
      </c>
      <c r="M1282" s="59">
        <f t="shared" si="116"/>
        <v>0</v>
      </c>
      <c r="N1282" s="59">
        <f t="shared" si="117"/>
        <v>0</v>
      </c>
      <c r="O1282" s="59">
        <f>SUM(E1282, G1282:N1282)</f>
        <v>296561</v>
      </c>
    </row>
    <row r="1283" spans="1:15" ht="20.25" customHeight="1">
      <c r="A1283" s="106">
        <v>1283</v>
      </c>
      <c r="B1283" s="4"/>
      <c r="C1283" s="450">
        <v>8510</v>
      </c>
      <c r="D1283" s="59" t="s">
        <v>246</v>
      </c>
      <c r="E1283" s="59">
        <f>J328</f>
        <v>15295</v>
      </c>
      <c r="F1283" s="11"/>
      <c r="G1283" s="59">
        <f t="shared" si="110"/>
        <v>0</v>
      </c>
      <c r="H1283" s="59">
        <f t="shared" si="111"/>
        <v>0</v>
      </c>
      <c r="I1283" s="59">
        <f t="shared" si="112"/>
        <v>0</v>
      </c>
      <c r="J1283" s="59">
        <f t="shared" si="113"/>
        <v>0</v>
      </c>
      <c r="K1283" s="59">
        <f t="shared" si="114"/>
        <v>0</v>
      </c>
      <c r="L1283" s="59">
        <f t="shared" si="115"/>
        <v>0</v>
      </c>
      <c r="M1283" s="59">
        <f t="shared" si="116"/>
        <v>0</v>
      </c>
      <c r="N1283" s="59">
        <f t="shared" si="117"/>
        <v>0</v>
      </c>
      <c r="O1283" s="59">
        <f>SUM(E1283, G1283:N1283)</f>
        <v>15295</v>
      </c>
    </row>
    <row r="1284" spans="1:15" ht="20.25" customHeight="1">
      <c r="A1284" s="106">
        <v>1284</v>
      </c>
      <c r="B1284" s="4"/>
      <c r="C1284" s="450">
        <v>8515</v>
      </c>
      <c r="D1284" s="59" t="s">
        <v>247</v>
      </c>
      <c r="E1284" s="59">
        <f>J336</f>
        <v>0</v>
      </c>
      <c r="F1284" s="59">
        <f t="shared" ref="F1284:F1295" si="118">J491</f>
        <v>0</v>
      </c>
      <c r="G1284" s="59">
        <f t="shared" si="110"/>
        <v>0</v>
      </c>
      <c r="H1284" s="59">
        <f t="shared" si="111"/>
        <v>0</v>
      </c>
      <c r="I1284" s="59">
        <f t="shared" si="112"/>
        <v>0</v>
      </c>
      <c r="J1284" s="59">
        <f t="shared" si="113"/>
        <v>0</v>
      </c>
      <c r="K1284" s="59">
        <f t="shared" si="114"/>
        <v>0</v>
      </c>
      <c r="L1284" s="59">
        <f t="shared" si="115"/>
        <v>0</v>
      </c>
      <c r="M1284" s="59">
        <f t="shared" si="116"/>
        <v>0</v>
      </c>
      <c r="N1284" s="59">
        <f t="shared" si="117"/>
        <v>0</v>
      </c>
      <c r="O1284" s="59">
        <f t="shared" ref="O1284:O1303" si="119">SUM(E1284:N1284)</f>
        <v>0</v>
      </c>
    </row>
    <row r="1285" spans="1:15" ht="20.25" customHeight="1">
      <c r="A1285" s="106">
        <v>1285</v>
      </c>
      <c r="B1285" s="4"/>
      <c r="C1285" s="450">
        <v>8520</v>
      </c>
      <c r="D1285" s="59" t="s">
        <v>137</v>
      </c>
      <c r="E1285" s="59">
        <f>J344</f>
        <v>803662</v>
      </c>
      <c r="F1285" s="59">
        <f t="shared" si="118"/>
        <v>0</v>
      </c>
      <c r="G1285" s="59">
        <f t="shared" si="110"/>
        <v>0</v>
      </c>
      <c r="H1285" s="59">
        <f t="shared" si="111"/>
        <v>0</v>
      </c>
      <c r="I1285" s="59">
        <f t="shared" si="112"/>
        <v>0</v>
      </c>
      <c r="J1285" s="59">
        <f t="shared" si="113"/>
        <v>0</v>
      </c>
      <c r="K1285" s="59">
        <f t="shared" si="114"/>
        <v>0</v>
      </c>
      <c r="L1285" s="59">
        <f t="shared" si="115"/>
        <v>0</v>
      </c>
      <c r="M1285" s="59">
        <f t="shared" si="116"/>
        <v>0</v>
      </c>
      <c r="N1285" s="59">
        <f t="shared" si="117"/>
        <v>0</v>
      </c>
      <c r="O1285" s="59">
        <f t="shared" si="119"/>
        <v>803662</v>
      </c>
    </row>
    <row r="1286" spans="1:15" ht="20.25" customHeight="1">
      <c r="A1286" s="106">
        <v>1286</v>
      </c>
      <c r="B1286" s="4"/>
      <c r="C1286" s="450">
        <v>8525</v>
      </c>
      <c r="D1286" s="59" t="s">
        <v>138</v>
      </c>
      <c r="E1286" s="59">
        <f>J349</f>
        <v>115721</v>
      </c>
      <c r="F1286" s="59">
        <f t="shared" si="118"/>
        <v>0</v>
      </c>
      <c r="G1286" s="59">
        <f t="shared" si="110"/>
        <v>0</v>
      </c>
      <c r="H1286" s="59">
        <f t="shared" si="111"/>
        <v>0</v>
      </c>
      <c r="I1286" s="59">
        <f t="shared" si="112"/>
        <v>0</v>
      </c>
      <c r="J1286" s="59">
        <f t="shared" si="113"/>
        <v>0</v>
      </c>
      <c r="K1286" s="59">
        <f t="shared" si="114"/>
        <v>0</v>
      </c>
      <c r="L1286" s="59">
        <f t="shared" si="115"/>
        <v>0</v>
      </c>
      <c r="M1286" s="59">
        <f t="shared" si="116"/>
        <v>0</v>
      </c>
      <c r="N1286" s="59">
        <f t="shared" si="117"/>
        <v>0</v>
      </c>
      <c r="O1286" s="59">
        <f t="shared" si="119"/>
        <v>115721</v>
      </c>
    </row>
    <row r="1287" spans="1:15" ht="20.25" customHeight="1">
      <c r="A1287" s="106">
        <v>1287</v>
      </c>
      <c r="B1287" s="4"/>
      <c r="C1287" s="450">
        <v>8530</v>
      </c>
      <c r="D1287" s="59" t="s">
        <v>139</v>
      </c>
      <c r="E1287" s="59">
        <f>J354</f>
        <v>372021</v>
      </c>
      <c r="F1287" s="59">
        <f t="shared" si="118"/>
        <v>0</v>
      </c>
      <c r="G1287" s="59">
        <f t="shared" si="110"/>
        <v>0</v>
      </c>
      <c r="H1287" s="59">
        <f t="shared" si="111"/>
        <v>0</v>
      </c>
      <c r="I1287" s="59">
        <f t="shared" si="112"/>
        <v>0</v>
      </c>
      <c r="J1287" s="59">
        <f t="shared" si="113"/>
        <v>0</v>
      </c>
      <c r="K1287" s="59">
        <f t="shared" si="114"/>
        <v>0</v>
      </c>
      <c r="L1287" s="59">
        <f t="shared" si="115"/>
        <v>0</v>
      </c>
      <c r="M1287" s="59">
        <f t="shared" si="116"/>
        <v>0</v>
      </c>
      <c r="N1287" s="59">
        <f t="shared" si="117"/>
        <v>0</v>
      </c>
      <c r="O1287" s="59">
        <f t="shared" si="119"/>
        <v>372021</v>
      </c>
    </row>
    <row r="1288" spans="1:15" ht="20.25" customHeight="1">
      <c r="A1288" s="106">
        <v>1288</v>
      </c>
      <c r="B1288" s="4"/>
      <c r="C1288" s="450">
        <v>8535</v>
      </c>
      <c r="D1288" s="59" t="s">
        <v>140</v>
      </c>
      <c r="E1288" s="59">
        <f>J362</f>
        <v>30742</v>
      </c>
      <c r="F1288" s="59">
        <f t="shared" si="118"/>
        <v>85288</v>
      </c>
      <c r="G1288" s="59">
        <f t="shared" si="110"/>
        <v>0</v>
      </c>
      <c r="H1288" s="59">
        <f t="shared" si="111"/>
        <v>0</v>
      </c>
      <c r="I1288" s="59">
        <f t="shared" si="112"/>
        <v>0</v>
      </c>
      <c r="J1288" s="59">
        <f t="shared" si="113"/>
        <v>0</v>
      </c>
      <c r="K1288" s="59">
        <f t="shared" si="114"/>
        <v>0</v>
      </c>
      <c r="L1288" s="59">
        <f t="shared" si="115"/>
        <v>0</v>
      </c>
      <c r="M1288" s="59">
        <f t="shared" si="116"/>
        <v>0</v>
      </c>
      <c r="N1288" s="59">
        <f t="shared" si="117"/>
        <v>0</v>
      </c>
      <c r="O1288" s="59">
        <f t="shared" si="119"/>
        <v>116030</v>
      </c>
    </row>
    <row r="1289" spans="1:15" ht="20.25" customHeight="1">
      <c r="A1289" s="106">
        <v>1289</v>
      </c>
      <c r="B1289" s="4"/>
      <c r="C1289" s="450">
        <v>8540</v>
      </c>
      <c r="D1289" s="59" t="s">
        <v>141</v>
      </c>
      <c r="E1289" s="59">
        <f>J370</f>
        <v>341279</v>
      </c>
      <c r="F1289" s="59">
        <f t="shared" si="118"/>
        <v>0</v>
      </c>
      <c r="G1289" s="59">
        <f t="shared" si="110"/>
        <v>0</v>
      </c>
      <c r="H1289" s="59">
        <f t="shared" si="111"/>
        <v>0</v>
      </c>
      <c r="I1289" s="59">
        <f t="shared" si="112"/>
        <v>0</v>
      </c>
      <c r="J1289" s="59">
        <f t="shared" si="113"/>
        <v>0</v>
      </c>
      <c r="K1289" s="59">
        <f t="shared" si="114"/>
        <v>0</v>
      </c>
      <c r="L1289" s="59">
        <f t="shared" si="115"/>
        <v>0</v>
      </c>
      <c r="M1289" s="59">
        <f t="shared" si="116"/>
        <v>0</v>
      </c>
      <c r="N1289" s="59">
        <f t="shared" si="117"/>
        <v>0</v>
      </c>
      <c r="O1289" s="59">
        <f t="shared" si="119"/>
        <v>341279</v>
      </c>
    </row>
    <row r="1290" spans="1:15" ht="20.25" customHeight="1">
      <c r="A1290" s="106">
        <v>1290</v>
      </c>
      <c r="B1290" s="4"/>
      <c r="C1290" s="450">
        <v>8545</v>
      </c>
      <c r="D1290" s="59" t="s">
        <v>142</v>
      </c>
      <c r="E1290" s="59">
        <f>J375</f>
        <v>2130</v>
      </c>
      <c r="F1290" s="59">
        <f t="shared" si="118"/>
        <v>0</v>
      </c>
      <c r="G1290" s="59">
        <f t="shared" si="110"/>
        <v>0</v>
      </c>
      <c r="H1290" s="59">
        <f t="shared" si="111"/>
        <v>0</v>
      </c>
      <c r="I1290" s="59">
        <f t="shared" si="112"/>
        <v>0</v>
      </c>
      <c r="J1290" s="59">
        <f t="shared" si="113"/>
        <v>0</v>
      </c>
      <c r="K1290" s="59">
        <f t="shared" si="114"/>
        <v>0</v>
      </c>
      <c r="L1290" s="59">
        <f t="shared" si="115"/>
        <v>0</v>
      </c>
      <c r="M1290" s="59">
        <f t="shared" si="116"/>
        <v>0</v>
      </c>
      <c r="N1290" s="59">
        <f t="shared" si="117"/>
        <v>0</v>
      </c>
      <c r="O1290" s="59">
        <f t="shared" si="119"/>
        <v>2130</v>
      </c>
    </row>
    <row r="1291" spans="1:15" ht="20.25" customHeight="1">
      <c r="A1291" s="106">
        <v>1291</v>
      </c>
      <c r="B1291" s="4"/>
      <c r="C1291" s="450">
        <v>8550</v>
      </c>
      <c r="D1291" s="59" t="s">
        <v>143</v>
      </c>
      <c r="E1291" s="6">
        <f>J383</f>
        <v>19860</v>
      </c>
      <c r="F1291" s="59">
        <f t="shared" si="118"/>
        <v>0</v>
      </c>
      <c r="G1291" s="59">
        <f t="shared" si="110"/>
        <v>0</v>
      </c>
      <c r="H1291" s="59">
        <f t="shared" si="111"/>
        <v>0</v>
      </c>
      <c r="I1291" s="59">
        <f t="shared" si="112"/>
        <v>0</v>
      </c>
      <c r="J1291" s="59">
        <f t="shared" si="113"/>
        <v>0</v>
      </c>
      <c r="K1291" s="59">
        <f t="shared" si="114"/>
        <v>0</v>
      </c>
      <c r="L1291" s="59">
        <f t="shared" si="115"/>
        <v>0</v>
      </c>
      <c r="M1291" s="59">
        <f t="shared" si="116"/>
        <v>0</v>
      </c>
      <c r="N1291" s="59">
        <f t="shared" si="117"/>
        <v>0</v>
      </c>
      <c r="O1291" s="59">
        <f t="shared" si="119"/>
        <v>19860</v>
      </c>
    </row>
    <row r="1292" spans="1:15" ht="20.25" customHeight="1">
      <c r="A1292" s="106">
        <v>1292</v>
      </c>
      <c r="B1292" s="4"/>
      <c r="C1292" s="450">
        <v>8555</v>
      </c>
      <c r="D1292" s="59" t="s">
        <v>248</v>
      </c>
      <c r="E1292" s="59">
        <f>J388</f>
        <v>0</v>
      </c>
      <c r="F1292" s="59">
        <f t="shared" si="118"/>
        <v>68800</v>
      </c>
      <c r="G1292" s="59">
        <f t="shared" si="110"/>
        <v>0</v>
      </c>
      <c r="H1292" s="59">
        <f t="shared" si="111"/>
        <v>0</v>
      </c>
      <c r="I1292" s="59">
        <f t="shared" si="112"/>
        <v>0</v>
      </c>
      <c r="J1292" s="59">
        <f t="shared" si="113"/>
        <v>0</v>
      </c>
      <c r="K1292" s="59">
        <f t="shared" si="114"/>
        <v>0</v>
      </c>
      <c r="L1292" s="59">
        <f t="shared" si="115"/>
        <v>0</v>
      </c>
      <c r="M1292" s="59">
        <f t="shared" si="116"/>
        <v>0</v>
      </c>
      <c r="N1292" s="59">
        <f t="shared" si="117"/>
        <v>0</v>
      </c>
      <c r="O1292" s="59">
        <f t="shared" si="119"/>
        <v>68800</v>
      </c>
    </row>
    <row r="1293" spans="1:15" ht="20.25" customHeight="1">
      <c r="A1293" s="106">
        <v>1293</v>
      </c>
      <c r="B1293" s="4"/>
      <c r="C1293" s="450">
        <v>8560</v>
      </c>
      <c r="D1293" s="59" t="s">
        <v>145</v>
      </c>
      <c r="E1293" s="59">
        <f>J393</f>
        <v>0</v>
      </c>
      <c r="F1293" s="59">
        <f t="shared" si="118"/>
        <v>0</v>
      </c>
      <c r="G1293" s="59">
        <f t="shared" si="110"/>
        <v>0</v>
      </c>
      <c r="H1293" s="59">
        <f t="shared" si="111"/>
        <v>0</v>
      </c>
      <c r="I1293" s="59">
        <f t="shared" si="112"/>
        <v>0</v>
      </c>
      <c r="J1293" s="59">
        <f t="shared" si="113"/>
        <v>0</v>
      </c>
      <c r="K1293" s="59">
        <f t="shared" si="114"/>
        <v>0</v>
      </c>
      <c r="L1293" s="59">
        <f t="shared" si="115"/>
        <v>0</v>
      </c>
      <c r="M1293" s="59">
        <f t="shared" si="116"/>
        <v>0</v>
      </c>
      <c r="N1293" s="59">
        <f t="shared" si="117"/>
        <v>0</v>
      </c>
      <c r="O1293" s="59">
        <f t="shared" si="119"/>
        <v>0</v>
      </c>
    </row>
    <row r="1294" spans="1:15" ht="20.25" customHeight="1">
      <c r="A1294" s="106">
        <v>1294</v>
      </c>
      <c r="B1294" s="4"/>
      <c r="C1294" s="450">
        <v>8565</v>
      </c>
      <c r="D1294" s="59" t="s">
        <v>146</v>
      </c>
      <c r="E1294" s="59">
        <f>J398</f>
        <v>486553</v>
      </c>
      <c r="F1294" s="59">
        <f t="shared" si="118"/>
        <v>0</v>
      </c>
      <c r="G1294" s="59">
        <f t="shared" si="110"/>
        <v>0</v>
      </c>
      <c r="H1294" s="59">
        <f t="shared" si="111"/>
        <v>0</v>
      </c>
      <c r="I1294" s="59">
        <f t="shared" si="112"/>
        <v>0</v>
      </c>
      <c r="J1294" s="59">
        <f t="shared" si="113"/>
        <v>0</v>
      </c>
      <c r="K1294" s="59">
        <f t="shared" si="114"/>
        <v>0</v>
      </c>
      <c r="L1294" s="59">
        <f t="shared" si="115"/>
        <v>0</v>
      </c>
      <c r="M1294" s="59">
        <f t="shared" si="116"/>
        <v>0</v>
      </c>
      <c r="N1294" s="59">
        <f t="shared" si="117"/>
        <v>0</v>
      </c>
      <c r="O1294" s="59">
        <f t="shared" si="119"/>
        <v>486553</v>
      </c>
    </row>
    <row r="1295" spans="1:15" ht="20.25" customHeight="1">
      <c r="A1295" s="106">
        <v>1295</v>
      </c>
      <c r="B1295" s="4"/>
      <c r="C1295" s="450">
        <v>8570</v>
      </c>
      <c r="D1295" s="59" t="s">
        <v>147</v>
      </c>
      <c r="E1295" s="59">
        <f>J400</f>
        <v>0</v>
      </c>
      <c r="F1295" s="59">
        <f t="shared" si="118"/>
        <v>343301</v>
      </c>
      <c r="G1295" s="59">
        <f t="shared" si="110"/>
        <v>0</v>
      </c>
      <c r="H1295" s="59">
        <f t="shared" si="111"/>
        <v>0</v>
      </c>
      <c r="I1295" s="59">
        <f t="shared" si="112"/>
        <v>0</v>
      </c>
      <c r="J1295" s="59">
        <f t="shared" si="113"/>
        <v>0</v>
      </c>
      <c r="K1295" s="59">
        <f t="shared" si="114"/>
        <v>0</v>
      </c>
      <c r="L1295" s="59">
        <f t="shared" si="115"/>
        <v>0</v>
      </c>
      <c r="M1295" s="59">
        <f t="shared" si="116"/>
        <v>0</v>
      </c>
      <c r="N1295" s="59">
        <f t="shared" si="117"/>
        <v>0</v>
      </c>
      <c r="O1295" s="59">
        <f t="shared" si="119"/>
        <v>343301</v>
      </c>
    </row>
    <row r="1296" spans="1:15" ht="20.25" customHeight="1">
      <c r="A1296" s="106">
        <v>1296</v>
      </c>
      <c r="B1296" s="325"/>
      <c r="C1296" s="450">
        <v>8572</v>
      </c>
      <c r="D1296" s="59" t="s">
        <v>148</v>
      </c>
      <c r="E1296" s="59">
        <f>J406</f>
        <v>0</v>
      </c>
      <c r="F1296" s="59">
        <f t="shared" ref="F1296:F1305" si="120">J508</f>
        <v>15748</v>
      </c>
      <c r="G1296" s="59">
        <f t="shared" si="110"/>
        <v>0</v>
      </c>
      <c r="H1296" s="59">
        <f t="shared" si="111"/>
        <v>0</v>
      </c>
      <c r="I1296" s="59">
        <f t="shared" si="112"/>
        <v>0</v>
      </c>
      <c r="J1296" s="59">
        <f t="shared" si="113"/>
        <v>0</v>
      </c>
      <c r="K1296" s="59">
        <f t="shared" si="114"/>
        <v>0</v>
      </c>
      <c r="L1296" s="59">
        <f t="shared" si="115"/>
        <v>0</v>
      </c>
      <c r="M1296" s="59">
        <f t="shared" si="116"/>
        <v>0</v>
      </c>
      <c r="N1296" s="59">
        <f t="shared" si="117"/>
        <v>0</v>
      </c>
      <c r="O1296" s="59">
        <f>SUM(E1296:N1296)</f>
        <v>15748</v>
      </c>
    </row>
    <row r="1297" spans="1:15" ht="20.25" customHeight="1">
      <c r="A1297" s="106">
        <v>1297</v>
      </c>
      <c r="B1297" s="4"/>
      <c r="C1297" s="450">
        <v>8575</v>
      </c>
      <c r="D1297" s="59" t="s">
        <v>150</v>
      </c>
      <c r="E1297" s="59">
        <f>J408</f>
        <v>242505</v>
      </c>
      <c r="F1297" s="59">
        <f t="shared" si="120"/>
        <v>242505</v>
      </c>
      <c r="G1297" s="59">
        <f t="shared" si="110"/>
        <v>0</v>
      </c>
      <c r="H1297" s="59">
        <f t="shared" si="111"/>
        <v>0</v>
      </c>
      <c r="I1297" s="59">
        <f t="shared" si="112"/>
        <v>0</v>
      </c>
      <c r="J1297" s="59">
        <f t="shared" si="113"/>
        <v>0</v>
      </c>
      <c r="K1297" s="59">
        <f t="shared" si="114"/>
        <v>0</v>
      </c>
      <c r="L1297" s="59">
        <f t="shared" si="115"/>
        <v>0</v>
      </c>
      <c r="M1297" s="59">
        <f t="shared" si="116"/>
        <v>0</v>
      </c>
      <c r="N1297" s="59">
        <f t="shared" si="117"/>
        <v>0</v>
      </c>
      <c r="O1297" s="59">
        <f t="shared" si="119"/>
        <v>485010</v>
      </c>
    </row>
    <row r="1298" spans="1:15" ht="20.25" customHeight="1">
      <c r="A1298" s="106">
        <v>1298</v>
      </c>
      <c r="B1298" s="4"/>
      <c r="C1298" s="450">
        <v>8580</v>
      </c>
      <c r="D1298" s="59" t="s">
        <v>151</v>
      </c>
      <c r="E1298" s="59">
        <f>J409</f>
        <v>1221146</v>
      </c>
      <c r="F1298" s="59">
        <f t="shared" si="120"/>
        <v>1221146</v>
      </c>
      <c r="G1298" s="59">
        <f t="shared" si="110"/>
        <v>0</v>
      </c>
      <c r="H1298" s="59">
        <f t="shared" si="111"/>
        <v>0</v>
      </c>
      <c r="I1298" s="59">
        <f t="shared" si="112"/>
        <v>0</v>
      </c>
      <c r="J1298" s="59">
        <f t="shared" si="113"/>
        <v>0</v>
      </c>
      <c r="K1298" s="59">
        <f t="shared" si="114"/>
        <v>0</v>
      </c>
      <c r="L1298" s="59">
        <f t="shared" si="115"/>
        <v>0</v>
      </c>
      <c r="M1298" s="59">
        <f t="shared" si="116"/>
        <v>0</v>
      </c>
      <c r="N1298" s="59">
        <f t="shared" si="117"/>
        <v>0</v>
      </c>
      <c r="O1298" s="59">
        <f t="shared" si="119"/>
        <v>2442292</v>
      </c>
    </row>
    <row r="1299" spans="1:15" ht="20.25" customHeight="1">
      <c r="A1299" s="106">
        <v>1299</v>
      </c>
      <c r="B1299" s="4"/>
      <c r="C1299" s="450">
        <v>8585</v>
      </c>
      <c r="D1299" s="59" t="s">
        <v>197</v>
      </c>
      <c r="E1299" s="59">
        <f>J410</f>
        <v>0</v>
      </c>
      <c r="F1299" s="59">
        <f t="shared" si="120"/>
        <v>0</v>
      </c>
      <c r="G1299" s="59">
        <f t="shared" si="110"/>
        <v>0</v>
      </c>
      <c r="H1299" s="59">
        <f t="shared" si="111"/>
        <v>5000</v>
      </c>
      <c r="I1299" s="59">
        <f t="shared" si="112"/>
        <v>0</v>
      </c>
      <c r="J1299" s="59">
        <f t="shared" si="113"/>
        <v>0</v>
      </c>
      <c r="K1299" s="59">
        <f t="shared" si="114"/>
        <v>0</v>
      </c>
      <c r="L1299" s="59">
        <f t="shared" si="115"/>
        <v>0</v>
      </c>
      <c r="M1299" s="59">
        <f t="shared" si="116"/>
        <v>0</v>
      </c>
      <c r="N1299" s="59">
        <f t="shared" si="117"/>
        <v>0</v>
      </c>
      <c r="O1299" s="59">
        <f t="shared" si="119"/>
        <v>5000</v>
      </c>
    </row>
    <row r="1300" spans="1:15" ht="20.25" customHeight="1">
      <c r="A1300" s="106">
        <v>1300</v>
      </c>
      <c r="B1300" s="4"/>
      <c r="C1300" s="450">
        <v>8590</v>
      </c>
      <c r="D1300" s="59" t="s">
        <v>249</v>
      </c>
      <c r="E1300" s="59">
        <f t="shared" ref="E1300:E1305" si="121">J413</f>
        <v>0</v>
      </c>
      <c r="F1300" s="59">
        <f t="shared" si="120"/>
        <v>0</v>
      </c>
      <c r="G1300" s="59">
        <f t="shared" si="110"/>
        <v>0</v>
      </c>
      <c r="H1300" s="59">
        <f t="shared" si="111"/>
        <v>0</v>
      </c>
      <c r="I1300" s="59">
        <f t="shared" si="112"/>
        <v>0</v>
      </c>
      <c r="J1300" s="59">
        <f t="shared" si="113"/>
        <v>0</v>
      </c>
      <c r="K1300" s="59">
        <f t="shared" si="114"/>
        <v>0</v>
      </c>
      <c r="L1300" s="59">
        <f t="shared" si="115"/>
        <v>0</v>
      </c>
      <c r="M1300" s="59">
        <f t="shared" si="116"/>
        <v>0</v>
      </c>
      <c r="N1300" s="59">
        <f t="shared" si="117"/>
        <v>0</v>
      </c>
      <c r="O1300" s="59">
        <f t="shared" si="119"/>
        <v>0</v>
      </c>
    </row>
    <row r="1301" spans="1:15" ht="20.25" customHeight="1">
      <c r="A1301" s="106">
        <v>1301</v>
      </c>
      <c r="B1301" s="4"/>
      <c r="C1301" s="450">
        <v>8595</v>
      </c>
      <c r="D1301" s="59" t="s">
        <v>250</v>
      </c>
      <c r="E1301" s="59">
        <f t="shared" si="121"/>
        <v>0</v>
      </c>
      <c r="F1301" s="59">
        <f t="shared" si="120"/>
        <v>0</v>
      </c>
      <c r="G1301" s="59">
        <f t="shared" si="110"/>
        <v>0</v>
      </c>
      <c r="H1301" s="59">
        <f t="shared" si="111"/>
        <v>0</v>
      </c>
      <c r="I1301" s="59">
        <f t="shared" si="112"/>
        <v>0</v>
      </c>
      <c r="J1301" s="59">
        <f t="shared" si="113"/>
        <v>0</v>
      </c>
      <c r="K1301" s="59">
        <f t="shared" si="114"/>
        <v>0</v>
      </c>
      <c r="L1301" s="59">
        <f t="shared" si="115"/>
        <v>0</v>
      </c>
      <c r="M1301" s="59">
        <f t="shared" si="116"/>
        <v>0</v>
      </c>
      <c r="N1301" s="59">
        <f t="shared" si="117"/>
        <v>0</v>
      </c>
      <c r="O1301" s="59">
        <f t="shared" si="119"/>
        <v>0</v>
      </c>
    </row>
    <row r="1302" spans="1:15" ht="20.25" customHeight="1">
      <c r="A1302" s="106">
        <v>1302</v>
      </c>
      <c r="B1302" s="4"/>
      <c r="C1302" s="450">
        <v>8600</v>
      </c>
      <c r="D1302" s="59" t="s">
        <v>251</v>
      </c>
      <c r="E1302" s="59">
        <f t="shared" si="121"/>
        <v>0</v>
      </c>
      <c r="F1302" s="59">
        <f t="shared" si="120"/>
        <v>0</v>
      </c>
      <c r="G1302" s="59">
        <f t="shared" si="110"/>
        <v>0</v>
      </c>
      <c r="H1302" s="59">
        <f t="shared" si="111"/>
        <v>0</v>
      </c>
      <c r="I1302" s="59">
        <f t="shared" si="112"/>
        <v>0</v>
      </c>
      <c r="J1302" s="59">
        <f t="shared" si="113"/>
        <v>0</v>
      </c>
      <c r="K1302" s="59">
        <f t="shared" si="114"/>
        <v>0</v>
      </c>
      <c r="L1302" s="59">
        <f t="shared" si="115"/>
        <v>0</v>
      </c>
      <c r="M1302" s="59">
        <f t="shared" si="116"/>
        <v>0</v>
      </c>
      <c r="N1302" s="59">
        <f t="shared" si="117"/>
        <v>0</v>
      </c>
      <c r="O1302" s="59">
        <f t="shared" si="119"/>
        <v>0</v>
      </c>
    </row>
    <row r="1303" spans="1:15" ht="20.25" customHeight="1">
      <c r="A1303" s="106">
        <v>1303</v>
      </c>
      <c r="B1303" s="4"/>
      <c r="C1303" s="450">
        <v>8605</v>
      </c>
      <c r="D1303" s="150" t="s">
        <v>252</v>
      </c>
      <c r="E1303" s="59">
        <f t="shared" si="121"/>
        <v>0</v>
      </c>
      <c r="F1303" s="59">
        <f t="shared" si="120"/>
        <v>0</v>
      </c>
      <c r="G1303" s="59">
        <f t="shared" si="110"/>
        <v>0</v>
      </c>
      <c r="H1303" s="59">
        <f t="shared" si="111"/>
        <v>0</v>
      </c>
      <c r="I1303" s="59">
        <f t="shared" si="112"/>
        <v>0</v>
      </c>
      <c r="J1303" s="59">
        <f t="shared" si="113"/>
        <v>0</v>
      </c>
      <c r="K1303" s="59">
        <f t="shared" si="114"/>
        <v>0</v>
      </c>
      <c r="L1303" s="59">
        <f t="shared" si="115"/>
        <v>0</v>
      </c>
      <c r="M1303" s="59">
        <f t="shared" si="116"/>
        <v>0</v>
      </c>
      <c r="N1303" s="59">
        <f t="shared" si="117"/>
        <v>0</v>
      </c>
      <c r="O1303" s="59">
        <f t="shared" si="119"/>
        <v>0</v>
      </c>
    </row>
    <row r="1304" spans="1:15" ht="20.25" customHeight="1">
      <c r="A1304" s="106">
        <v>1304</v>
      </c>
      <c r="B1304" s="4"/>
      <c r="C1304" s="450">
        <v>8610</v>
      </c>
      <c r="D1304" s="59" t="s">
        <v>158</v>
      </c>
      <c r="E1304" s="59">
        <f t="shared" si="121"/>
        <v>0</v>
      </c>
      <c r="F1304" s="59">
        <f t="shared" si="120"/>
        <v>0</v>
      </c>
      <c r="G1304" s="59">
        <f t="shared" si="110"/>
        <v>0</v>
      </c>
      <c r="H1304" s="59">
        <f t="shared" si="111"/>
        <v>0</v>
      </c>
      <c r="I1304" s="59">
        <f t="shared" si="112"/>
        <v>0</v>
      </c>
      <c r="J1304" s="59">
        <f t="shared" si="113"/>
        <v>0</v>
      </c>
      <c r="K1304" s="59">
        <f t="shared" si="114"/>
        <v>0</v>
      </c>
      <c r="L1304" s="59">
        <f t="shared" si="115"/>
        <v>0</v>
      </c>
      <c r="M1304" s="59">
        <f t="shared" si="116"/>
        <v>0</v>
      </c>
      <c r="N1304" s="59">
        <f t="shared" si="117"/>
        <v>0</v>
      </c>
      <c r="O1304" s="59">
        <f>SUM(E1304:N1304)</f>
        <v>0</v>
      </c>
    </row>
    <row r="1305" spans="1:15" ht="20.25" customHeight="1">
      <c r="A1305" s="106">
        <v>1305</v>
      </c>
      <c r="B1305" s="326"/>
      <c r="C1305" s="450">
        <v>8612</v>
      </c>
      <c r="D1305" s="59" t="s">
        <v>159</v>
      </c>
      <c r="E1305" s="59">
        <f t="shared" si="121"/>
        <v>0</v>
      </c>
      <c r="F1305" s="59">
        <f t="shared" si="120"/>
        <v>0</v>
      </c>
      <c r="G1305" s="59">
        <f t="shared" si="110"/>
        <v>0</v>
      </c>
      <c r="H1305" s="59">
        <f t="shared" si="111"/>
        <v>0</v>
      </c>
      <c r="I1305" s="59">
        <f t="shared" si="112"/>
        <v>0</v>
      </c>
      <c r="J1305" s="59">
        <f t="shared" si="113"/>
        <v>0</v>
      </c>
      <c r="K1305" s="59">
        <f t="shared" si="114"/>
        <v>0</v>
      </c>
      <c r="L1305" s="59">
        <f t="shared" si="115"/>
        <v>0</v>
      </c>
      <c r="M1305" s="59">
        <f t="shared" si="116"/>
        <v>0</v>
      </c>
      <c r="N1305" s="59">
        <f t="shared" si="117"/>
        <v>0</v>
      </c>
      <c r="O1305" s="59">
        <f>SUM(E1305:N1305)</f>
        <v>0</v>
      </c>
    </row>
    <row r="1306" spans="1:15" ht="20.25" customHeight="1">
      <c r="A1306" s="106">
        <v>1306</v>
      </c>
      <c r="B1306" s="4"/>
      <c r="C1306" s="450">
        <v>8615</v>
      </c>
      <c r="D1306" s="59" t="s">
        <v>253</v>
      </c>
      <c r="E1306" s="57"/>
      <c r="F1306" s="57"/>
      <c r="G1306" s="59">
        <f t="shared" si="110"/>
        <v>0</v>
      </c>
      <c r="H1306" s="59">
        <f t="shared" si="111"/>
        <v>0</v>
      </c>
      <c r="I1306" s="57"/>
      <c r="J1306" s="59">
        <f t="shared" ref="J1306:J1314" si="122">L615</f>
        <v>0</v>
      </c>
      <c r="K1306" s="59">
        <f t="shared" ref="K1306:K1314" si="123">M615</f>
        <v>0</v>
      </c>
      <c r="L1306" s="59">
        <f t="shared" ref="L1306:L1314" si="124">N615</f>
        <v>0</v>
      </c>
      <c r="M1306" s="59">
        <f t="shared" ref="M1306:M1314" si="125">O615</f>
        <v>0</v>
      </c>
      <c r="N1306" s="59">
        <f t="shared" ref="N1306:N1314" si="126">P615</f>
        <v>0</v>
      </c>
      <c r="O1306" s="59">
        <f>SUM(G1306:N1306)</f>
        <v>0</v>
      </c>
    </row>
    <row r="1307" spans="1:15" ht="20.25" customHeight="1">
      <c r="A1307" s="106">
        <v>1307</v>
      </c>
      <c r="B1307" s="4"/>
      <c r="C1307" s="450">
        <v>8620</v>
      </c>
      <c r="D1307" s="59" t="s">
        <v>160</v>
      </c>
      <c r="E1307" s="59">
        <f>J427</f>
        <v>0</v>
      </c>
      <c r="F1307" s="57"/>
      <c r="G1307" s="59">
        <f t="shared" si="110"/>
        <v>0</v>
      </c>
      <c r="H1307" s="59">
        <f t="shared" si="111"/>
        <v>0</v>
      </c>
      <c r="I1307" s="57"/>
      <c r="J1307" s="59">
        <f t="shared" si="122"/>
        <v>0</v>
      </c>
      <c r="K1307" s="59">
        <f t="shared" si="123"/>
        <v>0</v>
      </c>
      <c r="L1307" s="59">
        <f t="shared" si="124"/>
        <v>0</v>
      </c>
      <c r="M1307" s="59">
        <f t="shared" si="125"/>
        <v>0</v>
      </c>
      <c r="N1307" s="59">
        <f t="shared" si="126"/>
        <v>0</v>
      </c>
      <c r="O1307" s="59">
        <f>SUM(E1307, G1307:N1307)</f>
        <v>0</v>
      </c>
    </row>
    <row r="1308" spans="1:15" ht="20.25" customHeight="1">
      <c r="A1308" s="106">
        <v>1308</v>
      </c>
      <c r="B1308" s="4"/>
      <c r="C1308" s="450">
        <v>8625</v>
      </c>
      <c r="D1308" s="59" t="s">
        <v>255</v>
      </c>
      <c r="E1308" s="59">
        <f>J435</f>
        <v>0</v>
      </c>
      <c r="F1308" s="57"/>
      <c r="G1308" s="59">
        <f t="shared" si="110"/>
        <v>0</v>
      </c>
      <c r="H1308" s="59">
        <f t="shared" si="111"/>
        <v>0</v>
      </c>
      <c r="I1308" s="57"/>
      <c r="J1308" s="59">
        <f t="shared" si="122"/>
        <v>0</v>
      </c>
      <c r="K1308" s="59">
        <f t="shared" si="123"/>
        <v>0</v>
      </c>
      <c r="L1308" s="59">
        <f t="shared" si="124"/>
        <v>0</v>
      </c>
      <c r="M1308" s="59">
        <f t="shared" si="125"/>
        <v>0</v>
      </c>
      <c r="N1308" s="59">
        <f t="shared" si="126"/>
        <v>0</v>
      </c>
      <c r="O1308" s="59">
        <f>SUM(E1308, G1308:N1308)</f>
        <v>0</v>
      </c>
    </row>
    <row r="1309" spans="1:15" ht="20.25" customHeight="1">
      <c r="A1309" s="106">
        <v>1309</v>
      </c>
      <c r="B1309" s="4"/>
      <c r="C1309" s="450">
        <v>8630</v>
      </c>
      <c r="D1309" s="59" t="s">
        <v>256</v>
      </c>
      <c r="E1309" s="59">
        <f>J443</f>
        <v>0</v>
      </c>
      <c r="F1309" s="59">
        <f t="shared" ref="F1309:F1317" si="127">J518</f>
        <v>0</v>
      </c>
      <c r="G1309" s="59">
        <f t="shared" si="110"/>
        <v>0</v>
      </c>
      <c r="H1309" s="59">
        <f t="shared" si="111"/>
        <v>0</v>
      </c>
      <c r="I1309" s="57"/>
      <c r="J1309" s="59">
        <f t="shared" si="122"/>
        <v>0</v>
      </c>
      <c r="K1309" s="59">
        <f t="shared" si="123"/>
        <v>0</v>
      </c>
      <c r="L1309" s="59">
        <f t="shared" si="124"/>
        <v>0</v>
      </c>
      <c r="M1309" s="59">
        <f t="shared" si="125"/>
        <v>0</v>
      </c>
      <c r="N1309" s="59">
        <f t="shared" si="126"/>
        <v>0</v>
      </c>
      <c r="O1309" s="59">
        <f>SUM(E1309:N1309)</f>
        <v>0</v>
      </c>
    </row>
    <row r="1310" spans="1:15" ht="20.25" customHeight="1">
      <c r="A1310" s="106">
        <v>1310</v>
      </c>
      <c r="B1310" s="4"/>
      <c r="C1310" s="450">
        <v>8635</v>
      </c>
      <c r="D1310" s="59" t="s">
        <v>257</v>
      </c>
      <c r="E1310" s="59">
        <f>J451</f>
        <v>0</v>
      </c>
      <c r="F1310" s="59">
        <f t="shared" si="127"/>
        <v>0</v>
      </c>
      <c r="G1310" s="59">
        <f t="shared" si="110"/>
        <v>0</v>
      </c>
      <c r="H1310" s="59">
        <f t="shared" si="111"/>
        <v>0</v>
      </c>
      <c r="I1310" s="59">
        <f>K619</f>
        <v>0</v>
      </c>
      <c r="J1310" s="59">
        <f t="shared" si="122"/>
        <v>0</v>
      </c>
      <c r="K1310" s="59">
        <f t="shared" si="123"/>
        <v>0</v>
      </c>
      <c r="L1310" s="59">
        <f t="shared" si="124"/>
        <v>0</v>
      </c>
      <c r="M1310" s="59">
        <f t="shared" si="125"/>
        <v>0</v>
      </c>
      <c r="N1310" s="59">
        <f t="shared" si="126"/>
        <v>0</v>
      </c>
      <c r="O1310" s="59">
        <f>SUM(E1310:N1310)</f>
        <v>0</v>
      </c>
    </row>
    <row r="1311" spans="1:15" ht="20.25" customHeight="1">
      <c r="A1311" s="106">
        <v>1311</v>
      </c>
      <c r="B1311" s="4"/>
      <c r="C1311" s="450">
        <v>8640</v>
      </c>
      <c r="D1311" s="59" t="s">
        <v>165</v>
      </c>
      <c r="E1311" s="59">
        <f>J453</f>
        <v>0</v>
      </c>
      <c r="F1311" s="59">
        <f t="shared" si="127"/>
        <v>0</v>
      </c>
      <c r="G1311" s="59">
        <f t="shared" si="110"/>
        <v>0</v>
      </c>
      <c r="H1311" s="59">
        <f t="shared" si="111"/>
        <v>0</v>
      </c>
      <c r="I1311" s="57"/>
      <c r="J1311" s="59">
        <f t="shared" si="122"/>
        <v>0</v>
      </c>
      <c r="K1311" s="59">
        <f t="shared" si="123"/>
        <v>0</v>
      </c>
      <c r="L1311" s="59">
        <f t="shared" si="124"/>
        <v>0</v>
      </c>
      <c r="M1311" s="59">
        <f t="shared" si="125"/>
        <v>0</v>
      </c>
      <c r="N1311" s="59">
        <f t="shared" si="126"/>
        <v>0</v>
      </c>
      <c r="O1311" s="59">
        <f>SUM(E1311:J1311, K1311:N1311)</f>
        <v>0</v>
      </c>
    </row>
    <row r="1312" spans="1:15" ht="20.25" customHeight="1">
      <c r="A1312" s="106">
        <v>1312</v>
      </c>
      <c r="B1312" s="4"/>
      <c r="C1312" s="450">
        <v>8645</v>
      </c>
      <c r="D1312" s="59" t="s">
        <v>166</v>
      </c>
      <c r="E1312" s="59">
        <f>J454</f>
        <v>0</v>
      </c>
      <c r="F1312" s="59">
        <f t="shared" si="127"/>
        <v>26950</v>
      </c>
      <c r="G1312" s="59">
        <f t="shared" si="110"/>
        <v>0</v>
      </c>
      <c r="H1312" s="59">
        <f t="shared" si="111"/>
        <v>0</v>
      </c>
      <c r="I1312" s="57"/>
      <c r="J1312" s="59">
        <f t="shared" si="122"/>
        <v>0</v>
      </c>
      <c r="K1312" s="59">
        <f t="shared" si="123"/>
        <v>0</v>
      </c>
      <c r="L1312" s="59">
        <f t="shared" si="124"/>
        <v>0</v>
      </c>
      <c r="M1312" s="59">
        <f t="shared" si="125"/>
        <v>0</v>
      </c>
      <c r="N1312" s="59">
        <f t="shared" si="126"/>
        <v>0</v>
      </c>
      <c r="O1312" s="59">
        <f>SUM(E1312:J1312, K1312:N1312)</f>
        <v>26950</v>
      </c>
    </row>
    <row r="1313" spans="1:15" ht="20.25" customHeight="1">
      <c r="A1313" s="106">
        <v>1313</v>
      </c>
      <c r="B1313" s="4"/>
      <c r="C1313" s="450">
        <v>8650</v>
      </c>
      <c r="D1313" s="59" t="s">
        <v>167</v>
      </c>
      <c r="E1313" s="59">
        <f>J455</f>
        <v>0</v>
      </c>
      <c r="F1313" s="59">
        <f t="shared" si="127"/>
        <v>437529</v>
      </c>
      <c r="G1313" s="59">
        <f t="shared" si="110"/>
        <v>0</v>
      </c>
      <c r="H1313" s="59">
        <f t="shared" si="111"/>
        <v>0</v>
      </c>
      <c r="I1313" s="57"/>
      <c r="J1313" s="59">
        <f t="shared" si="122"/>
        <v>0</v>
      </c>
      <c r="K1313" s="59">
        <f t="shared" si="123"/>
        <v>0</v>
      </c>
      <c r="L1313" s="59">
        <f t="shared" si="124"/>
        <v>0</v>
      </c>
      <c r="M1313" s="59">
        <f t="shared" si="125"/>
        <v>0</v>
      </c>
      <c r="N1313" s="59">
        <f t="shared" si="126"/>
        <v>0</v>
      </c>
      <c r="O1313" s="59">
        <f>SUM(E1313:J1313, K1313:N1313)</f>
        <v>437529</v>
      </c>
    </row>
    <row r="1314" spans="1:15" ht="20.25" customHeight="1">
      <c r="A1314" s="106">
        <v>1314</v>
      </c>
      <c r="B1314" s="4"/>
      <c r="C1314" s="450">
        <v>8655</v>
      </c>
      <c r="D1314" s="59" t="s">
        <v>168</v>
      </c>
      <c r="E1314" s="59">
        <f>J456</f>
        <v>0</v>
      </c>
      <c r="F1314" s="59">
        <f t="shared" si="127"/>
        <v>0</v>
      </c>
      <c r="G1314" s="59">
        <f t="shared" si="110"/>
        <v>0</v>
      </c>
      <c r="H1314" s="59">
        <f t="shared" si="111"/>
        <v>0</v>
      </c>
      <c r="I1314" s="57"/>
      <c r="J1314" s="59">
        <f t="shared" si="122"/>
        <v>0</v>
      </c>
      <c r="K1314" s="59">
        <f t="shared" si="123"/>
        <v>0</v>
      </c>
      <c r="L1314" s="59">
        <f t="shared" si="124"/>
        <v>0</v>
      </c>
      <c r="M1314" s="59">
        <f t="shared" si="125"/>
        <v>0</v>
      </c>
      <c r="N1314" s="59">
        <f t="shared" si="126"/>
        <v>0</v>
      </c>
      <c r="O1314" s="59">
        <f>SUM(E1314:J1314, K1314:N1314)</f>
        <v>0</v>
      </c>
    </row>
    <row r="1315" spans="1:15" ht="20.25" customHeight="1">
      <c r="A1315" s="106">
        <v>1315</v>
      </c>
      <c r="B1315" s="4"/>
      <c r="C1315" s="450">
        <v>8660</v>
      </c>
      <c r="D1315" s="59" t="s">
        <v>170</v>
      </c>
      <c r="E1315" s="59">
        <f>J459</f>
        <v>0</v>
      </c>
      <c r="F1315" s="59">
        <f t="shared" si="127"/>
        <v>972728</v>
      </c>
      <c r="G1315" s="59">
        <f t="shared" si="110"/>
        <v>0</v>
      </c>
      <c r="H1315" s="59">
        <f t="shared" si="111"/>
        <v>0</v>
      </c>
      <c r="I1315" s="57"/>
      <c r="J1315" s="59">
        <f>L624</f>
        <v>0</v>
      </c>
      <c r="K1315" s="57"/>
      <c r="L1315" s="59">
        <f t="shared" ref="L1315:N1318" si="128">N624</f>
        <v>0</v>
      </c>
      <c r="M1315" s="59">
        <f t="shared" si="128"/>
        <v>0</v>
      </c>
      <c r="N1315" s="59">
        <f t="shared" si="128"/>
        <v>0</v>
      </c>
      <c r="O1315" s="59">
        <f>SUM(E1315:J1315, L1315:N1315)</f>
        <v>972728</v>
      </c>
    </row>
    <row r="1316" spans="1:15" ht="20.25" customHeight="1">
      <c r="A1316" s="106">
        <v>1316</v>
      </c>
      <c r="B1316" s="4"/>
      <c r="C1316" s="450">
        <v>8665</v>
      </c>
      <c r="D1316" s="59" t="s">
        <v>171</v>
      </c>
      <c r="E1316" s="59">
        <f>J460</f>
        <v>0</v>
      </c>
      <c r="F1316" s="59">
        <f t="shared" si="127"/>
        <v>946794</v>
      </c>
      <c r="G1316" s="59">
        <f t="shared" si="110"/>
        <v>0</v>
      </c>
      <c r="H1316" s="59">
        <f t="shared" si="111"/>
        <v>0</v>
      </c>
      <c r="I1316" s="57"/>
      <c r="J1316" s="59">
        <f>L625</f>
        <v>0</v>
      </c>
      <c r="K1316" s="57"/>
      <c r="L1316" s="59">
        <f t="shared" si="128"/>
        <v>0</v>
      </c>
      <c r="M1316" s="59">
        <f t="shared" si="128"/>
        <v>0</v>
      </c>
      <c r="N1316" s="59">
        <f t="shared" si="128"/>
        <v>0</v>
      </c>
      <c r="O1316" s="59">
        <f>SUM(E1316:J1316, L1316:N1316)</f>
        <v>946794</v>
      </c>
    </row>
    <row r="1317" spans="1:15" ht="20.25" customHeight="1">
      <c r="A1317" s="106">
        <v>1317</v>
      </c>
      <c r="B1317" s="4"/>
      <c r="C1317" s="450">
        <v>8670</v>
      </c>
      <c r="D1317" s="59" t="s">
        <v>172</v>
      </c>
      <c r="E1317" s="59">
        <f>J461</f>
        <v>0</v>
      </c>
      <c r="F1317" s="59">
        <f t="shared" si="127"/>
        <v>0</v>
      </c>
      <c r="G1317" s="59">
        <f t="shared" si="110"/>
        <v>0</v>
      </c>
      <c r="H1317" s="59">
        <f>I626</f>
        <v>0</v>
      </c>
      <c r="I1317" s="59">
        <f>K626</f>
        <v>0</v>
      </c>
      <c r="J1317" s="59">
        <f>L626</f>
        <v>0</v>
      </c>
      <c r="K1317" s="57"/>
      <c r="L1317" s="59">
        <f t="shared" si="128"/>
        <v>0</v>
      </c>
      <c r="M1317" s="59">
        <f t="shared" si="128"/>
        <v>0</v>
      </c>
      <c r="N1317" s="59">
        <f t="shared" si="128"/>
        <v>0</v>
      </c>
      <c r="O1317" s="59">
        <f>SUM(E1317:J1317, L1317:N1317)</f>
        <v>0</v>
      </c>
    </row>
    <row r="1318" spans="1:15" ht="20.25" customHeight="1">
      <c r="A1318" s="106">
        <v>1318</v>
      </c>
      <c r="B1318" s="4"/>
      <c r="C1318" s="450">
        <v>8675</v>
      </c>
      <c r="D1318" s="59" t="s">
        <v>568</v>
      </c>
      <c r="E1318" s="59">
        <f t="shared" ref="E1318:E1325" si="129">J464</f>
        <v>0</v>
      </c>
      <c r="F1318" s="59">
        <f t="shared" ref="F1318:F1326" si="130">J528</f>
        <v>0</v>
      </c>
      <c r="G1318" s="59">
        <f t="shared" si="110"/>
        <v>0</v>
      </c>
      <c r="H1318" s="59">
        <f>I627+J627</f>
        <v>0</v>
      </c>
      <c r="I1318" s="59">
        <f>K627</f>
        <v>0</v>
      </c>
      <c r="J1318" s="59">
        <f>L627</f>
        <v>0</v>
      </c>
      <c r="K1318" s="59">
        <f>M627</f>
        <v>0</v>
      </c>
      <c r="L1318" s="59">
        <f t="shared" si="128"/>
        <v>0</v>
      </c>
      <c r="M1318" s="59">
        <f t="shared" si="128"/>
        <v>0</v>
      </c>
      <c r="N1318" s="59">
        <f t="shared" si="128"/>
        <v>0</v>
      </c>
      <c r="O1318" s="59">
        <f t="shared" ref="O1318:O1325" si="131">SUM(E1318:N1318)</f>
        <v>0</v>
      </c>
    </row>
    <row r="1319" spans="1:15" ht="20.25" customHeight="1">
      <c r="A1319" s="106">
        <v>1319</v>
      </c>
      <c r="B1319" s="4"/>
      <c r="C1319" s="450">
        <v>8680</v>
      </c>
      <c r="D1319" s="59" t="s">
        <v>175</v>
      </c>
      <c r="E1319" s="59">
        <f t="shared" si="129"/>
        <v>0</v>
      </c>
      <c r="F1319" s="59">
        <f t="shared" si="130"/>
        <v>401723</v>
      </c>
      <c r="G1319" s="57"/>
      <c r="H1319" s="57"/>
      <c r="I1319" s="57"/>
      <c r="J1319" s="57"/>
      <c r="K1319" s="57"/>
      <c r="L1319" s="57"/>
      <c r="M1319" s="57"/>
      <c r="N1319" s="57"/>
      <c r="O1319" s="59">
        <f t="shared" si="131"/>
        <v>401723</v>
      </c>
    </row>
    <row r="1320" spans="1:15" ht="20.25" customHeight="1">
      <c r="A1320" s="106">
        <v>1320</v>
      </c>
      <c r="B1320" s="4"/>
      <c r="C1320" s="450">
        <v>8685</v>
      </c>
      <c r="D1320" s="59" t="s">
        <v>176</v>
      </c>
      <c r="E1320" s="59">
        <f t="shared" si="129"/>
        <v>0</v>
      </c>
      <c r="F1320" s="59">
        <f t="shared" si="130"/>
        <v>436987</v>
      </c>
      <c r="G1320" s="57"/>
      <c r="H1320" s="57"/>
      <c r="I1320" s="57"/>
      <c r="J1320" s="57"/>
      <c r="K1320" s="57"/>
      <c r="L1320" s="57"/>
      <c r="M1320" s="57"/>
      <c r="N1320" s="57"/>
      <c r="O1320" s="59">
        <f t="shared" si="131"/>
        <v>436987</v>
      </c>
    </row>
    <row r="1321" spans="1:15" ht="20.25" customHeight="1">
      <c r="A1321" s="106">
        <v>1321</v>
      </c>
      <c r="B1321" s="4"/>
      <c r="C1321" s="450">
        <v>8690</v>
      </c>
      <c r="D1321" s="59" t="s">
        <v>177</v>
      </c>
      <c r="E1321" s="59">
        <f t="shared" si="129"/>
        <v>0</v>
      </c>
      <c r="F1321" s="59">
        <f t="shared" si="130"/>
        <v>0</v>
      </c>
      <c r="G1321" s="59">
        <f>SUM(E628:H628)</f>
        <v>0</v>
      </c>
      <c r="H1321" s="59">
        <f>I628+J628</f>
        <v>0</v>
      </c>
      <c r="I1321" s="59">
        <f t="shared" ref="I1321:N1321" si="132">K628</f>
        <v>0</v>
      </c>
      <c r="J1321" s="59">
        <f t="shared" si="132"/>
        <v>0</v>
      </c>
      <c r="K1321" s="59">
        <f t="shared" si="132"/>
        <v>0</v>
      </c>
      <c r="L1321" s="59">
        <f t="shared" si="132"/>
        <v>0</v>
      </c>
      <c r="M1321" s="59">
        <f t="shared" si="132"/>
        <v>0</v>
      </c>
      <c r="N1321" s="59">
        <f t="shared" si="132"/>
        <v>0</v>
      </c>
      <c r="O1321" s="59">
        <f t="shared" si="131"/>
        <v>0</v>
      </c>
    </row>
    <row r="1322" spans="1:15" ht="20.25" customHeight="1">
      <c r="A1322" s="106">
        <v>1322</v>
      </c>
      <c r="B1322" s="4"/>
      <c r="C1322" s="450">
        <v>8691</v>
      </c>
      <c r="D1322" s="59" t="s">
        <v>178</v>
      </c>
      <c r="E1322" s="59">
        <f t="shared" si="129"/>
        <v>0</v>
      </c>
      <c r="F1322" s="59">
        <f t="shared" si="130"/>
        <v>0</v>
      </c>
      <c r="G1322" s="57"/>
      <c r="H1322" s="57"/>
      <c r="I1322" s="57"/>
      <c r="J1322" s="57"/>
      <c r="K1322" s="57"/>
      <c r="L1322" s="57"/>
      <c r="M1322" s="57"/>
      <c r="N1322" s="57"/>
      <c r="O1322" s="59">
        <f>SUM(E1322:N1322)</f>
        <v>0</v>
      </c>
    </row>
    <row r="1323" spans="1:15" ht="20.25" customHeight="1">
      <c r="A1323" s="106">
        <v>1323</v>
      </c>
      <c r="B1323" s="4"/>
      <c r="C1323" s="450">
        <v>8695</v>
      </c>
      <c r="D1323" s="59" t="s">
        <v>179</v>
      </c>
      <c r="E1323" s="59">
        <f t="shared" si="129"/>
        <v>0</v>
      </c>
      <c r="F1323" s="59">
        <f t="shared" si="130"/>
        <v>0</v>
      </c>
      <c r="G1323" s="59">
        <f>SUM(E629:H629)</f>
        <v>0</v>
      </c>
      <c r="H1323" s="59">
        <f>I629+J629</f>
        <v>0</v>
      </c>
      <c r="I1323" s="59">
        <f t="shared" ref="I1323:N1325" si="133">K629</f>
        <v>0</v>
      </c>
      <c r="J1323" s="59">
        <f t="shared" si="133"/>
        <v>0</v>
      </c>
      <c r="K1323" s="59">
        <f t="shared" si="133"/>
        <v>0</v>
      </c>
      <c r="L1323" s="59">
        <f t="shared" si="133"/>
        <v>0</v>
      </c>
      <c r="M1323" s="59">
        <f t="shared" si="133"/>
        <v>0</v>
      </c>
      <c r="N1323" s="59">
        <f t="shared" si="133"/>
        <v>0</v>
      </c>
      <c r="O1323" s="59">
        <f t="shared" si="131"/>
        <v>0</v>
      </c>
    </row>
    <row r="1324" spans="1:15" ht="20.25" customHeight="1">
      <c r="A1324" s="106">
        <v>1324</v>
      </c>
      <c r="B1324" s="4"/>
      <c r="C1324" s="450">
        <v>8700</v>
      </c>
      <c r="D1324" s="59" t="s">
        <v>180</v>
      </c>
      <c r="E1324" s="59">
        <f t="shared" si="129"/>
        <v>397529</v>
      </c>
      <c r="F1324" s="59">
        <f t="shared" si="130"/>
        <v>0</v>
      </c>
      <c r="G1324" s="59">
        <f>SUM(E630:H630)</f>
        <v>0</v>
      </c>
      <c r="H1324" s="59">
        <f>I630+J630</f>
        <v>367272</v>
      </c>
      <c r="I1324" s="59">
        <f t="shared" si="133"/>
        <v>401966</v>
      </c>
      <c r="J1324" s="59">
        <f t="shared" si="133"/>
        <v>0</v>
      </c>
      <c r="K1324" s="59">
        <f t="shared" si="133"/>
        <v>0</v>
      </c>
      <c r="L1324" s="59">
        <f t="shared" si="133"/>
        <v>0</v>
      </c>
      <c r="M1324" s="59">
        <f t="shared" si="133"/>
        <v>0</v>
      </c>
      <c r="N1324" s="59">
        <f t="shared" si="133"/>
        <v>0</v>
      </c>
      <c r="O1324" s="59">
        <f t="shared" si="131"/>
        <v>1166767</v>
      </c>
    </row>
    <row r="1325" spans="1:15" ht="20.25" customHeight="1">
      <c r="A1325" s="106">
        <v>1325</v>
      </c>
      <c r="B1325" s="4"/>
      <c r="C1325" s="450">
        <v>8705</v>
      </c>
      <c r="D1325" s="59" t="s">
        <v>181</v>
      </c>
      <c r="E1325" s="59">
        <f t="shared" si="129"/>
        <v>190979</v>
      </c>
      <c r="F1325" s="59">
        <f t="shared" si="130"/>
        <v>0</v>
      </c>
      <c r="G1325" s="59">
        <f>SUM(E631:H631)</f>
        <v>0</v>
      </c>
      <c r="H1325" s="59">
        <f>I631+J631</f>
        <v>99024</v>
      </c>
      <c r="I1325" s="59">
        <f t="shared" si="133"/>
        <v>0</v>
      </c>
      <c r="J1325" s="59">
        <f t="shared" si="133"/>
        <v>0</v>
      </c>
      <c r="K1325" s="59">
        <f t="shared" si="133"/>
        <v>0</v>
      </c>
      <c r="L1325" s="59">
        <f t="shared" si="133"/>
        <v>0</v>
      </c>
      <c r="M1325" s="59">
        <f t="shared" si="133"/>
        <v>0</v>
      </c>
      <c r="N1325" s="59">
        <f t="shared" si="133"/>
        <v>0</v>
      </c>
      <c r="O1325" s="59">
        <f t="shared" si="131"/>
        <v>290003</v>
      </c>
    </row>
    <row r="1326" spans="1:15" ht="20.25" customHeight="1">
      <c r="A1326" s="106">
        <v>1326</v>
      </c>
      <c r="B1326" s="4"/>
      <c r="C1326" s="450">
        <v>8710</v>
      </c>
      <c r="D1326" s="59" t="s">
        <v>205</v>
      </c>
      <c r="E1326" s="57"/>
      <c r="F1326" s="59">
        <f t="shared" si="130"/>
        <v>1181390</v>
      </c>
      <c r="G1326" s="57"/>
      <c r="H1326" s="57"/>
      <c r="I1326" s="57"/>
      <c r="J1326" s="57"/>
      <c r="K1326" s="57"/>
      <c r="L1326" s="57"/>
      <c r="M1326" s="57"/>
      <c r="N1326" s="57"/>
      <c r="O1326" s="59">
        <f>F1326</f>
        <v>1181390</v>
      </c>
    </row>
    <row r="1327" spans="1:15" ht="20.25" customHeight="1">
      <c r="A1327" s="106">
        <v>1327</v>
      </c>
      <c r="B1327" s="4"/>
      <c r="C1327" s="450">
        <v>8715</v>
      </c>
      <c r="D1327" s="60" t="s">
        <v>569</v>
      </c>
      <c r="E1327" s="60">
        <f ca="1">SUM(E1240:E1248, E1277, E1278:E1305, E1307:E1325)</f>
        <v>20700533</v>
      </c>
      <c r="F1327" s="60">
        <f ca="1">SUM(F1240, F1244:F1248, F1277, F1279:F1280, F1284:F1305, F1309:F1326)</f>
        <v>6606876</v>
      </c>
      <c r="G1327" s="60">
        <f ca="1">SUM(G1240:G1248, G1277, G1278:G1325)</f>
        <v>0</v>
      </c>
      <c r="H1327" s="60">
        <f ca="1">SUM(H1240:H1248, H1277, H1278:H1325)</f>
        <v>504147</v>
      </c>
      <c r="I1327" s="60">
        <f ca="1">SUM(I1240:I1248, I1277, I1278:I1305,I1310,I1317:I1325)</f>
        <v>401966</v>
      </c>
      <c r="J1327" s="60">
        <f ca="1">SUM(J1240:J1248, J1277, J1278:J1325)</f>
        <v>0</v>
      </c>
      <c r="K1327" s="60">
        <f ca="1">SUM(K1240:K1248, K1277, K1278:K1314,K1318:K1325)</f>
        <v>0</v>
      </c>
      <c r="L1327" s="60">
        <f>SUM(L1240:L1248, L1277, L1278:L1325)</f>
        <v>0</v>
      </c>
      <c r="M1327" s="60">
        <f>SUM(M1240:M1248,M1278:M1325)</f>
        <v>0</v>
      </c>
      <c r="N1327" s="60">
        <f ca="1">SUM(N1240:N1248, N1277, N1278:N1325)</f>
        <v>0</v>
      </c>
      <c r="O1327" s="60">
        <f ca="1">SUM(E1327:N1327)</f>
        <v>28213522</v>
      </c>
    </row>
  </sheetData>
  <sheetProtection algorithmName="SHA-512" hashValue="hj92z64G7la45pQvH5zRywjBCoRyiJE6FjjlL20wX/MLBjTM7fmt2hyJuUIxJDAq++0SkBzCFKVutvmB7B2j8w==" saltValue="DiUrfpsQygnp7veaD9OBWA==" spinCount="100000" sheet="1" objects="1" scenarios="1"/>
  <autoFilter ref="C14:C1327" xr:uid="{00000000-0009-0000-0000-000001000000}"/>
  <customSheetViews>
    <customSheetView guid="{EBCA391C-5ACD-495F-8ED1-C69B7D739622}" scale="70" showGridLines="0" outlineSymbols="0" showAutoFilter="1" topLeftCell="A558">
      <selection activeCell="C592" sqref="C592"/>
      <rowBreaks count="39" manualBreakCount="39">
        <brk id="36" max="16383" man="1"/>
        <brk id="52" max="16383" man="1"/>
        <brk id="90" max="16383" man="1"/>
        <brk id="119" max="16383" man="1"/>
        <brk id="172" max="16383" man="1"/>
        <brk id="210" max="16383" man="1"/>
        <brk id="243" max="16383" man="1"/>
        <brk id="272" max="16383" man="1"/>
        <brk id="304" max="16383" man="1"/>
        <brk id="336" max="16383" man="1"/>
        <brk id="367" max="16383" man="1"/>
        <brk id="396" max="16383" man="1"/>
        <brk id="441" max="16383" man="1"/>
        <brk id="470" max="16383" man="1"/>
        <brk id="510" max="16383" man="1"/>
        <brk id="535" max="16383" man="1"/>
        <brk id="579" max="16383" man="1"/>
        <brk id="612" max="16383" man="1"/>
        <brk id="628" max="16383" man="1"/>
        <brk id="662" max="16383" man="1"/>
        <brk id="701" max="16383" man="1"/>
        <brk id="732" max="16383" man="1"/>
        <brk id="760" max="16383" man="1"/>
        <brk id="788" max="16383" man="1"/>
        <brk id="815" max="16383" man="1"/>
        <brk id="855" max="16383" man="1"/>
        <brk id="886" max="16383" man="1"/>
        <brk id="914" max="16383" man="1"/>
        <brk id="942" max="16383" man="1"/>
        <brk id="969" max="16383" man="1"/>
        <brk id="997" max="16383" man="1"/>
        <brk id="1042" max="16383" man="1"/>
        <brk id="1062" max="16383" man="1"/>
        <brk id="1104" max="16383" man="1"/>
        <brk id="1148" max="16383" man="1"/>
        <brk id="1167" max="16383" man="1"/>
        <brk id="1203" max="16383" man="1"/>
        <brk id="1246" max="16383" man="1"/>
        <brk id="1279" max="16383" man="1"/>
      </rowBreaks>
      <pageMargins left="0" right="0" top="0" bottom="0" header="0" footer="0"/>
      <pageSetup scale="55" orientation="landscape" r:id="rId1"/>
      <headerFooter alignWithMargins="0">
        <oddFooter>&amp;CSchedule 1 Page 4 of 20</oddFooter>
      </headerFooter>
      <autoFilter ref="B1" xr:uid="{1FFBA78A-D6CD-4F4C-BC2C-AB44899C880A}"/>
    </customSheetView>
  </customSheetViews>
  <mergeCells count="8">
    <mergeCell ref="E836:H836"/>
    <mergeCell ref="I836:J836"/>
    <mergeCell ref="A5:K5"/>
    <mergeCell ref="A4:K4"/>
    <mergeCell ref="E542:H542"/>
    <mergeCell ref="I542:J542"/>
    <mergeCell ref="K542:P542"/>
    <mergeCell ref="K836:N836"/>
  </mergeCells>
  <phoneticPr fontId="0" type="noConversion"/>
  <conditionalFormatting sqref="K667">
    <cfRule type="cellIs" dxfId="5" priority="1" stopIfTrue="1" operator="notBetween">
      <formula>-100</formula>
      <formula>100</formula>
    </cfRule>
  </conditionalFormatting>
  <dataValidations count="2">
    <dataValidation type="decimal" operator="greaterThanOrEqual" allowBlank="1" showInputMessage="1" showErrorMessage="1" sqref="E1327:O1327 O1240:O1326 F1309:F1326 E857:O863 G1321:N1321 G1318:N1318 G1317:J1317 J1240:J1316 K1240:K1314 G1310:I1310 I34 E1192:I1192 E911:O917 E1284:I1305 E1240:E1283 F1279:F1280 L1278:N1317 N1240:N1277 F1277 F1267 F1259 F1244:F1248 L1240:M1248 G1240:I1283 F1240 E1195:J1195 J1184:J1194 E1176:J1177 J1144:J1175 E1132:J1132 J1099:J1131 I1087:I1088 E1085:M1085 M1077:M1083 I1077:I1083 E1024:M1024 M1015:M1023 E968:O971 E963:O966 E958:O961 E952:O956 E950:O950 E945:O948 E940:O943 E938:O938 E933:O936 E927:O931 E925:O925 E981:O987 E906:O909 E901:O904 E787:H791 E897:O899 F1048:F1050 G1306:H1309 E878:O878 E865:O871 E873:O876 G1323:N1325 E973:O979 J713 J708:J711 T676:W681 T684:W689 X700:X705 T713:W713 T715:W720 T723:W725 T728:W729 T732:W733 X736:X738 X746:X751 T754:W757 T760:W760 T762:W765 T775:W777 T780:W782 T785:W785 T787:W790 T793:W795 X798:X800 X803:X805 T808:W813 T816:W821 T824:W829 E841:O847 E831:K831 J824:J830 E816:H822 J808:J814 E808:H814 J803:J806 E803:H806 J798:J801 E798:H801 J793:J796 E793:H796 J787:J791 J785 E785:H785 J780:J783 E780:H783 J775:K778 E775:H778 J773 E773:H773 J768:J771 E768:H771 J762:J766 E762:H766 J760 E760:H760 J754:J758 E754:H758 I746:J752 J741:J744 E713:H713 E849:O855 I736:K739 J732:J734 E732:H734 J728:J730 E728:H730 E723:H726 J715:J721 E715:H721 E708:H711 M1043:M1050 X708:X710 T773:W773 E741:H744 J723:J726 E824:H830 J816:J822 E880:O886 E888:O891 E919:O923 E989:O996 G1311:H1316 Q29 E1307:E1325 J15:J26 E27:J27 J29:J35 J46:J51 E52:J52 J116:J119 E126:H132 J126:J132 E134:H140 J134:J140 E142:H148 J142:J148 I150:J156 E158:H161 J158:J161 E163:H163 J163 E165:H171 J165:J171 E173:H176 J173:J176 E178:H180 J178:J180 E182:H184 J182:J184 I186:J189 E191:H194 J191:J194 I196:J202 E204:H208 J204:J208 E210:H210 J210 E212:H216 J212:J216 E218:H221 J218:J221 E223:H223 J223 E225:H228 J225:J228 E230:H233 J230:J233 E235:H235 J235 E237:H241 J237:J241 E243:H246 J243:J246 E248:H251 J248:J251 E253:H256 J253:J256 E258:H264 J258:J264 E266:H272 J266:J272 E274:H280 J274:J280 J298:J304 J437:J443 J445:J451 J464:J471 E472:J473 J481:J502 J504:J526 J528:J536 E537:J538 E547:J555 E893:O895 P557:Q585 E587:J625 E626:I626 E627:J631 Q587:Q631 E632:Q632 F667:K667 E676:H682 J676:J682 E684:H690 J684:J690 E692:H698 J692:J698 I700:J706 I15:I16 E17:I19 I20 E21:I21 I22:I23 E24:I24 F25 I26 F30 I30:I31 E38:J40 E42:J44 I46:I47 E49:I49 H50:I50 E51:I51 I61:J66 I68:J74 I76:J82 I84:J90 I92:J98 I100:J106 I108:J114 E116:H119 I121:J124 I282:J288 I290:J296 E298:H304 I306:J312 I314:J320 I322:J328 I330:J336 I338:J344 I346:J349 I351:J354 I356:J362 I364:J370 I372:J375 I377:J383 I385:J388 I390:J393 I395:J398 I400:J400 I402:J406 I408:J411 I413:J419 E421:J427 I429:J435 E437:H443 E445:H451 I453:J457 I459:J462 E464:H464 G466 E467:G467 E469:H471 I481:I484 E485:H485 I486:I489 E490:H490 I491:I502 I504:I518 E519:I519 I520:I526 E528:H528 G530 E531:G531 E533:H535 I536 L547:Q555 L587:P588 K589:P589 L590:P618 K619:P619 L620:P623 L624:L625 N624:P626 K626:L631 M627:P631 F1204:L1231 F640:J666 E1006:M1013 E1015:L1015 L1016 G1017:L1017 E1017:E1021 F1018:L1021 E1022:L1023 E1036:M1039 J1048:K1050 I1190:I1191 E1058:M1059 E1067:M1068 H1077 E1077:F1079 J1077:K1079 G1078:H1080 L1078:L1080 E1081:F1083 H1081:H1083 J1081:K1083 G1087:G1088 L1088:M1088 I1099 E1100:I1100 I1101 E1102:H1102 I1103:I1117 E1118:I1119 I1120:I1123 I1128 E1124:H1131 F1193 I1194 I1144:I1146 E1147:H1147 I1148:I1160 E1161:I1162 I1163:I1166 I1171 E1167:H1174 I1175 I1184:I1185 E1186:I1189 H1043:I1050 E1043:E1050 E557:M585" xr:uid="{00000000-0002-0000-0100-000000000000}">
      <formula1>0</formula1>
    </dataValidation>
    <dataValidation operator="greaterThanOrEqual" allowBlank="1" showInputMessage="1" showErrorMessage="1" sqref="L644 L646 L1145 N1145 N1207 N1209 H30" xr:uid="{00000000-0002-0000-0100-000001000000}"/>
  </dataValidations>
  <hyperlinks>
    <hyperlink ref="H7" r:id="rId2" xr:uid="{00000000-0004-0000-0100-000000000000}"/>
  </hyperlinks>
  <pageMargins left="0.25" right="0.25" top="0.75" bottom="0.15" header="0.67" footer="0.21"/>
  <pageSetup scale="52" orientation="landscape" r:id="rId3"/>
  <headerFooter alignWithMargins="0">
    <oddFooter>&amp;CExpenditure Summary Page 3 of 3</oddFooter>
  </headerFooter>
  <rowBreaks count="17" manualBreakCount="17">
    <brk id="52" max="16383" man="1"/>
    <brk id="90" max="16383" man="1"/>
    <brk id="119" max="16383" man="1"/>
    <brk id="176" max="16383" man="1"/>
    <brk id="312" max="16383" man="1"/>
    <brk id="344" max="16383" man="1"/>
    <brk id="539" max="16383" man="1"/>
    <brk id="585" max="16383" man="1"/>
    <brk id="667" max="16383" man="1"/>
    <brk id="831" max="16383" man="1"/>
    <brk id="996" max="16383" man="1"/>
    <brk id="1024" max="16383" man="1"/>
    <brk id="1089" max="16383" man="1"/>
    <brk id="1132" max="16383" man="1"/>
    <brk id="1177" max="16383" man="1"/>
    <brk id="1196" max="16383" man="1"/>
    <brk id="1232" max="16383" man="1"/>
  </rowBreaks>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1">
    <tabColor theme="6"/>
  </sheetPr>
  <dimension ref="A8:L266"/>
  <sheetViews>
    <sheetView showGridLines="0" topLeftCell="A32" zoomScale="85" zoomScaleNormal="85" workbookViewId="0">
      <selection activeCell="J68" sqref="J68"/>
    </sheetView>
  </sheetViews>
  <sheetFormatPr defaultColWidth="8.77734375" defaultRowHeight="20.25" customHeight="1"/>
  <cols>
    <col min="1" max="1" width="5.77734375" style="18" customWidth="1"/>
    <col min="2" max="2" width="54.6640625" style="18" customWidth="1"/>
    <col min="3" max="3" width="14.77734375" style="567" customWidth="1"/>
    <col min="4" max="6" width="14.77734375" style="18" customWidth="1"/>
    <col min="7" max="7" width="17.21875" style="18" customWidth="1"/>
    <col min="8" max="8" width="3.21875" style="18" customWidth="1"/>
    <col min="9" max="10" width="14.77734375" style="18" customWidth="1"/>
    <col min="11" max="11" width="2.77734375" style="18" customWidth="1"/>
    <col min="12" max="12" width="42.5546875" style="18" customWidth="1"/>
    <col min="13" max="16384" width="8.77734375" style="18"/>
  </cols>
  <sheetData>
    <row r="8" spans="1:10" ht="20.25" customHeight="1">
      <c r="B8" s="197" t="s">
        <v>570</v>
      </c>
      <c r="C8" s="568" t="s">
        <v>224</v>
      </c>
      <c r="D8" s="199" t="s">
        <v>571</v>
      </c>
      <c r="E8" s="51"/>
      <c r="F8" s="198"/>
      <c r="G8" s="200"/>
      <c r="I8" s="18" t="s">
        <v>572</v>
      </c>
    </row>
    <row r="9" spans="1:10" ht="20.25" customHeight="1">
      <c r="B9" s="201" t="str">
        <f>'eoy24'!$C$7&amp;" "&amp;'eoy24'!$D$7</f>
        <v>162 Lunenburg</v>
      </c>
      <c r="C9" s="569" t="s">
        <v>573</v>
      </c>
      <c r="D9" s="202" t="s">
        <v>574</v>
      </c>
      <c r="E9" s="200"/>
      <c r="F9" s="202" t="s">
        <v>133</v>
      </c>
      <c r="G9" s="200"/>
      <c r="I9" s="18" t="s">
        <v>575</v>
      </c>
    </row>
    <row r="10" spans="1:10" ht="20.25" customHeight="1">
      <c r="A10" s="203">
        <v>10</v>
      </c>
      <c r="B10" s="51" t="s">
        <v>576</v>
      </c>
      <c r="C10" s="48">
        <f ca="1">ROUND(daypct*scadmin,0)+SUM('eoy24'!E119:'eoy24'!G119)</f>
        <v>931865</v>
      </c>
      <c r="D10" s="97">
        <v>225987</v>
      </c>
      <c r="E10" s="50" t="s">
        <v>577</v>
      </c>
      <c r="F10" s="51">
        <f ca="1">ROUND(C10+D10,0)</f>
        <v>1157852</v>
      </c>
      <c r="G10" s="200"/>
      <c r="I10" s="18" t="s">
        <v>578</v>
      </c>
    </row>
    <row r="11" spans="1:10" ht="20.25" customHeight="1">
      <c r="A11" s="203">
        <v>11</v>
      </c>
      <c r="B11" s="51" t="s">
        <v>579</v>
      </c>
      <c r="C11" s="51">
        <f ca="1">ROUND(SUM('eoy24'!E831:'eoy24'!G831)+'eoy24'!I831,0)</f>
        <v>13665266</v>
      </c>
      <c r="D11" s="97">
        <v>0</v>
      </c>
      <c r="E11" s="50" t="s">
        <v>577</v>
      </c>
      <c r="F11" s="51">
        <f t="shared" ref="F11:F22" ca="1" si="0">ROUND(C11+D11,0)</f>
        <v>13665266</v>
      </c>
      <c r="G11" s="200"/>
    </row>
    <row r="12" spans="1:10" ht="20.25" customHeight="1">
      <c r="A12" s="203">
        <v>12</v>
      </c>
      <c r="B12" s="51" t="s">
        <v>580</v>
      </c>
      <c r="C12" s="51">
        <f>'eoy24'!J288+'eoy24'!J296</f>
        <v>248493</v>
      </c>
      <c r="D12" s="97">
        <v>0</v>
      </c>
      <c r="E12" s="50" t="s">
        <v>577</v>
      </c>
      <c r="F12" s="51">
        <f t="shared" si="0"/>
        <v>248493</v>
      </c>
      <c r="G12" s="200"/>
      <c r="I12" s="44" t="s">
        <v>581</v>
      </c>
      <c r="J12" s="217" t="s">
        <v>582</v>
      </c>
    </row>
    <row r="13" spans="1:10" ht="20.25" customHeight="1">
      <c r="A13" s="203">
        <v>13</v>
      </c>
      <c r="B13" s="51" t="s">
        <v>583</v>
      </c>
      <c r="C13" s="51">
        <f>ROUND('eoy24'!J306+'eoy24'!J307+'eoy24'!J308+'eoy24'!J309+'eoy24'!J311,0)</f>
        <v>0</v>
      </c>
      <c r="D13" s="11"/>
      <c r="E13" s="52"/>
      <c r="F13" s="51">
        <f t="shared" si="0"/>
        <v>0</v>
      </c>
      <c r="G13" s="200"/>
      <c r="I13" s="44" t="s">
        <v>584</v>
      </c>
      <c r="J13" s="217" t="s">
        <v>100</v>
      </c>
    </row>
    <row r="14" spans="1:10" ht="20.25" customHeight="1">
      <c r="A14" s="203">
        <v>14</v>
      </c>
      <c r="B14" s="51" t="s">
        <v>585</v>
      </c>
      <c r="C14" s="51">
        <f>ROUND('eoy24'!J320+'eoy24'!J328+'eoy24'!J336,0)</f>
        <v>311856</v>
      </c>
      <c r="D14" s="51">
        <f ca="1">ROUND('eoy24'!J491*daypct,0)</f>
        <v>0</v>
      </c>
      <c r="E14" s="52"/>
      <c r="F14" s="51">
        <f t="shared" ca="1" si="0"/>
        <v>311856</v>
      </c>
      <c r="G14" s="200"/>
    </row>
    <row r="15" spans="1:10" ht="20.25" customHeight="1">
      <c r="A15" s="203">
        <v>15</v>
      </c>
      <c r="B15" s="51" t="s">
        <v>586</v>
      </c>
      <c r="C15" s="51">
        <f ca="1">ROUND(('eoy24'!J344+'eoy24'!J349+'eoy24'!J354+'eoy24'!J362+'eoy24'!J370+'eoy24'!J375+'eoy24'!J383+'eoy24'!J388+'eoy24'!J393+'eoy24'!J398)*daypct,0)</f>
        <v>2171968</v>
      </c>
      <c r="D15" s="98">
        <v>300714</v>
      </c>
      <c r="E15" s="50" t="s">
        <v>577</v>
      </c>
      <c r="F15" s="51">
        <f t="shared" ca="1" si="0"/>
        <v>2472682</v>
      </c>
      <c r="G15" s="200"/>
    </row>
    <row r="16" spans="1:10" ht="20.25" customHeight="1">
      <c r="A16" s="203">
        <v>16</v>
      </c>
      <c r="B16" s="51" t="s">
        <v>587</v>
      </c>
      <c r="C16" s="51">
        <f ca="1">ROUND(('eoy24'!J400+'eoy24'!J406)*daypct,0)</f>
        <v>0</v>
      </c>
      <c r="D16" s="51">
        <f ca="1">ROUND(('eoy24'!J502+'eoy24'!J508)*daypct,0)</f>
        <v>359049</v>
      </c>
      <c r="E16" s="52"/>
      <c r="F16" s="53">
        <f t="shared" ca="1" si="0"/>
        <v>359049</v>
      </c>
      <c r="I16" s="44" t="s">
        <v>588</v>
      </c>
      <c r="J16" s="149">
        <f>'eoy24'!J20</f>
        <v>31705</v>
      </c>
    </row>
    <row r="17" spans="1:10" ht="20.25" customHeight="1">
      <c r="A17" s="203">
        <v>17</v>
      </c>
      <c r="B17" s="51" t="s">
        <v>589</v>
      </c>
      <c r="C17" s="51">
        <f ca="1">ROUND(('eoy24'!J408+'eoy24'!J410)*daypct,0)</f>
        <v>242505</v>
      </c>
      <c r="D17" s="51">
        <f ca="1">ROUND(('eoy24'!J509+'eoy24'!J511)*daypct,0)</f>
        <v>242505</v>
      </c>
      <c r="E17" s="52"/>
      <c r="F17" s="53">
        <f t="shared" ca="1" si="0"/>
        <v>485010</v>
      </c>
      <c r="I17" s="44" t="s">
        <v>590</v>
      </c>
      <c r="J17" s="96">
        <v>20056630</v>
      </c>
    </row>
    <row r="18" spans="1:10" ht="20.25" customHeight="1">
      <c r="A18" s="203">
        <v>18</v>
      </c>
      <c r="B18" s="51" t="s">
        <v>591</v>
      </c>
      <c r="C18" s="48">
        <f ca="1">IF($J$12="X",ROUND(daypct*'eoy24'!J409,0),ROUND(0.7*(daypct*'eoy24'!J409),0))</f>
        <v>1221146</v>
      </c>
      <c r="D18" s="48">
        <f ca="1">IF($J$12="X",ROUND(daypct*'eoy24'!J510,0),ROUND(0.7*(daypct*'eoy24'!J510),0))</f>
        <v>1221146</v>
      </c>
      <c r="E18" s="52"/>
      <c r="F18" s="53">
        <f t="shared" ca="1" si="0"/>
        <v>2442292</v>
      </c>
      <c r="I18" s="44" t="s">
        <v>592</v>
      </c>
      <c r="J18" s="96">
        <v>24273712.820558168</v>
      </c>
    </row>
    <row r="19" spans="1:10" ht="20.25" customHeight="1">
      <c r="A19" s="203">
        <v>19</v>
      </c>
      <c r="B19" s="51" t="s">
        <v>593</v>
      </c>
      <c r="C19" s="51">
        <f ca="1">ROUND(('eoy24'!J413+'eoy24'!J414)*daypct,0)</f>
        <v>0</v>
      </c>
      <c r="D19" s="98">
        <v>0</v>
      </c>
      <c r="E19" s="50" t="s">
        <v>577</v>
      </c>
      <c r="F19" s="53">
        <f t="shared" ca="1" si="0"/>
        <v>0</v>
      </c>
      <c r="I19" s="44" t="s">
        <v>594</v>
      </c>
      <c r="J19" s="59">
        <f>J18-J17</f>
        <v>4217082.820558168</v>
      </c>
    </row>
    <row r="20" spans="1:10" ht="20.25" customHeight="1">
      <c r="A20" s="203">
        <v>20</v>
      </c>
      <c r="B20" s="51" t="s">
        <v>595</v>
      </c>
      <c r="C20" s="51">
        <f ca="1">ROUND(('eoy24'!J415)*daypct,0)</f>
        <v>0</v>
      </c>
      <c r="D20" s="51">
        <f ca="1">ROUND('eoy24'!J514*daypct,0)</f>
        <v>0</v>
      </c>
      <c r="E20" s="52"/>
      <c r="F20" s="53">
        <f t="shared" ca="1" si="0"/>
        <v>0</v>
      </c>
      <c r="I20" s="44" t="s">
        <v>596</v>
      </c>
      <c r="J20" s="59">
        <f>J19-J16</f>
        <v>4185377.820558168</v>
      </c>
    </row>
    <row r="21" spans="1:10" ht="20.25" customHeight="1">
      <c r="A21" s="203">
        <v>21</v>
      </c>
      <c r="B21" s="51" t="s">
        <v>597</v>
      </c>
      <c r="C21" s="51">
        <f ca="1">ROUND(SUM('eoy24'!E472:'eoy24'!G472),0)-IF(VALUE('eoy24'!C7)&gt;352,'eoy24'!I32,0)</f>
        <v>588508</v>
      </c>
      <c r="D21" s="51">
        <f ca="1">ROUND(SUM('eoy24'!E537:'eoy24'!G537),0)-IF(VALUE('eoy24'!C7)&lt;400,'eoy24'!I32,0)</f>
        <v>805945</v>
      </c>
      <c r="E21" s="50"/>
      <c r="F21" s="49">
        <f t="shared" ca="1" si="0"/>
        <v>1394453</v>
      </c>
      <c r="I21" s="44" t="s">
        <v>598</v>
      </c>
      <c r="J21" s="59">
        <f>IF(J20&lt;0,MIN(ABS(J20),J16),0)</f>
        <v>0</v>
      </c>
    </row>
    <row r="22" spans="1:10" ht="20.25" customHeight="1">
      <c r="A22" s="203">
        <v>22</v>
      </c>
      <c r="B22" s="51" t="s">
        <v>599</v>
      </c>
      <c r="C22" s="51">
        <f ca="1">SUM(C10:C21)</f>
        <v>19381607</v>
      </c>
      <c r="D22" s="51">
        <f ca="1">SUM(D10:D21)</f>
        <v>3155346</v>
      </c>
      <c r="E22" s="52"/>
      <c r="F22" s="51">
        <f t="shared" ca="1" si="0"/>
        <v>22536953</v>
      </c>
      <c r="G22" s="78"/>
      <c r="H22" s="4"/>
      <c r="I22" s="92" t="s">
        <v>600</v>
      </c>
      <c r="J22" s="479">
        <v>0</v>
      </c>
    </row>
    <row r="23" spans="1:10" ht="20.25" customHeight="1">
      <c r="A23" s="203">
        <v>23</v>
      </c>
      <c r="B23" s="82" t="s">
        <v>601</v>
      </c>
      <c r="C23" s="570"/>
      <c r="D23" s="12"/>
      <c r="E23" s="54"/>
      <c r="F23" s="12"/>
    </row>
    <row r="24" spans="1:10" ht="20.25" customHeight="1">
      <c r="A24" s="203">
        <v>24</v>
      </c>
      <c r="B24" s="51" t="s">
        <v>602</v>
      </c>
      <c r="C24" s="610">
        <f>J21+J22</f>
        <v>0</v>
      </c>
      <c r="D24" s="12"/>
      <c r="E24" s="50" t="s">
        <v>577</v>
      </c>
      <c r="F24" s="51">
        <f>C24+D24</f>
        <v>0</v>
      </c>
      <c r="G24" s="200"/>
    </row>
    <row r="25" spans="1:10" ht="20.25" customHeight="1">
      <c r="A25" s="203">
        <v>25</v>
      </c>
      <c r="B25" s="51" t="s">
        <v>603</v>
      </c>
      <c r="C25" s="571"/>
      <c r="D25" s="98">
        <v>40755</v>
      </c>
      <c r="E25" s="12"/>
      <c r="F25" s="49">
        <f>D25</f>
        <v>40755</v>
      </c>
      <c r="G25" s="200"/>
    </row>
    <row r="26" spans="1:10" ht="20.25" customHeight="1">
      <c r="A26" s="203">
        <v>26</v>
      </c>
      <c r="B26" s="51" t="s">
        <v>604</v>
      </c>
      <c r="C26" s="51">
        <f>C24</f>
        <v>0</v>
      </c>
      <c r="D26" s="51">
        <f>D24+D25</f>
        <v>40755</v>
      </c>
      <c r="E26" s="12"/>
      <c r="F26" s="51">
        <f>C26+D26</f>
        <v>40755</v>
      </c>
      <c r="G26" s="200"/>
      <c r="H26" s="4"/>
      <c r="I26" s="4"/>
      <c r="J26" s="4"/>
    </row>
    <row r="27" spans="1:10" ht="20.25" customHeight="1">
      <c r="A27" s="203">
        <v>27</v>
      </c>
      <c r="B27" s="49"/>
      <c r="C27" s="571"/>
      <c r="D27" s="12"/>
      <c r="E27" s="12"/>
      <c r="F27" s="12"/>
      <c r="G27" s="200"/>
    </row>
    <row r="28" spans="1:10" ht="20.25" customHeight="1">
      <c r="A28" s="203">
        <v>28</v>
      </c>
      <c r="B28" s="51" t="s">
        <v>605</v>
      </c>
      <c r="C28" s="6">
        <f ca="1">IF(C22-C26&gt;0,C22-C26,0)</f>
        <v>19381607</v>
      </c>
      <c r="D28" s="6">
        <f ca="1">IF(D22-D26&gt;0,D22-D26,0)</f>
        <v>3114591</v>
      </c>
      <c r="E28" s="11"/>
      <c r="F28" s="6">
        <f ca="1">IF(F22-F26&gt;0,F22-F26,0)</f>
        <v>22496198</v>
      </c>
      <c r="G28" s="200"/>
    </row>
    <row r="29" spans="1:10" ht="20.25" customHeight="1">
      <c r="A29" s="203">
        <v>29</v>
      </c>
      <c r="B29" s="82" t="s">
        <v>606</v>
      </c>
      <c r="C29" s="571"/>
      <c r="D29" s="11"/>
      <c r="E29" s="11"/>
      <c r="F29" s="98">
        <v>20730114</v>
      </c>
      <c r="G29" s="200"/>
    </row>
    <row r="30" spans="1:10" ht="20.25" customHeight="1">
      <c r="A30" s="203">
        <v>30</v>
      </c>
      <c r="B30" s="82" t="s">
        <v>607</v>
      </c>
      <c r="C30" s="571"/>
      <c r="D30" s="11"/>
      <c r="E30" s="11"/>
      <c r="F30" s="98">
        <v>0</v>
      </c>
      <c r="G30" s="200"/>
    </row>
    <row r="31" spans="1:10" ht="20.25" customHeight="1">
      <c r="A31" s="203">
        <v>31</v>
      </c>
      <c r="B31" s="82" t="s">
        <v>608</v>
      </c>
      <c r="C31" s="571"/>
      <c r="D31" s="11"/>
      <c r="E31" s="11"/>
      <c r="F31" s="6">
        <f>F30+F29</f>
        <v>20730114</v>
      </c>
      <c r="G31" s="200"/>
    </row>
    <row r="32" spans="1:10" ht="20.25" customHeight="1">
      <c r="A32" s="203">
        <v>32</v>
      </c>
      <c r="B32" s="82" t="s">
        <v>609</v>
      </c>
      <c r="C32" s="571"/>
      <c r="D32" s="11"/>
      <c r="E32" s="11"/>
      <c r="F32" s="6">
        <f ca="1">IF(F28&lt;F31,F31-F28,0)</f>
        <v>0</v>
      </c>
      <c r="G32" s="200"/>
    </row>
    <row r="33" spans="1:6" ht="20.25" customHeight="1">
      <c r="A33" s="203">
        <v>33</v>
      </c>
      <c r="B33" s="51" t="s">
        <v>610</v>
      </c>
      <c r="C33" s="571"/>
      <c r="D33" s="11"/>
      <c r="E33" s="11"/>
      <c r="F33" s="55">
        <f ca="1">IF(F29&gt;0,ROUND(F32/F29,4),0)</f>
        <v>0</v>
      </c>
    </row>
    <row r="34" spans="1:6" ht="20.25" customHeight="1">
      <c r="A34" s="203">
        <v>34</v>
      </c>
      <c r="B34" s="82" t="s">
        <v>611</v>
      </c>
      <c r="C34" s="571"/>
      <c r="D34" s="11"/>
      <c r="E34" s="11"/>
      <c r="F34" s="6">
        <f ca="1">IF(F33&lt;=0.05,F32,ROUND(0.05*F29,0))</f>
        <v>0</v>
      </c>
    </row>
    <row r="35" spans="1:6" ht="20.25" customHeight="1">
      <c r="A35" s="203">
        <v>35</v>
      </c>
      <c r="B35" s="49" t="s">
        <v>612</v>
      </c>
      <c r="C35" s="570"/>
      <c r="D35" s="12"/>
      <c r="E35" s="12"/>
      <c r="F35" s="43">
        <f ca="1">MAX(F32-F34,0)</f>
        <v>0</v>
      </c>
    </row>
    <row r="36" spans="1:6" ht="20.25" customHeight="1">
      <c r="A36" s="203"/>
      <c r="B36" s="204"/>
      <c r="C36" s="572"/>
      <c r="D36" s="204"/>
      <c r="E36" s="204"/>
      <c r="F36" s="204"/>
    </row>
    <row r="37" spans="1:6" ht="20.25" customHeight="1">
      <c r="A37" s="203"/>
    </row>
    <row r="38" spans="1:6" ht="20.25" customHeight="1">
      <c r="A38" s="203"/>
      <c r="B38" s="197" t="s">
        <v>613</v>
      </c>
      <c r="C38" s="568" t="s">
        <v>224</v>
      </c>
      <c r="D38" s="199" t="s">
        <v>571</v>
      </c>
      <c r="E38" s="53"/>
      <c r="F38" s="200"/>
    </row>
    <row r="39" spans="1:6" ht="20.25" customHeight="1">
      <c r="A39" s="203"/>
      <c r="B39" s="201" t="str">
        <f>'eoy24'!$C$7&amp;" "&amp;'eoy24'!$D$7</f>
        <v>162 Lunenburg</v>
      </c>
      <c r="C39" s="573" t="s">
        <v>573</v>
      </c>
      <c r="D39" s="202" t="s">
        <v>574</v>
      </c>
      <c r="E39" s="202" t="s">
        <v>133</v>
      </c>
      <c r="F39" s="200"/>
    </row>
    <row r="40" spans="1:6" ht="20.25" customHeight="1">
      <c r="A40" s="203">
        <v>40</v>
      </c>
      <c r="B40" s="51" t="s">
        <v>614</v>
      </c>
      <c r="C40" s="51">
        <f>ROUND('eoy24'!J1099*daypctbud,0)</f>
        <v>937441</v>
      </c>
      <c r="D40" s="51">
        <f>ROUND('eoy24'!J1144*daypctbud,0)</f>
        <v>0</v>
      </c>
      <c r="E40" s="51">
        <f t="shared" ref="E40:E52" si="1">ROUND(C40+D40,0)</f>
        <v>937441</v>
      </c>
      <c r="F40" s="200"/>
    </row>
    <row r="41" spans="1:6" ht="20.25" customHeight="1">
      <c r="A41" s="203">
        <v>41</v>
      </c>
      <c r="B41" s="51" t="s">
        <v>615</v>
      </c>
      <c r="C41" s="51">
        <f ca="1">ROUND(SUM('eoy24'!E1100:'eoy24'!G1100)+'eoy24'!I1100,0)</f>
        <v>15429212</v>
      </c>
      <c r="D41" s="51">
        <f>'eoy24'!J1145</f>
        <v>0</v>
      </c>
      <c r="E41" s="51">
        <f t="shared" ca="1" si="1"/>
        <v>15429212</v>
      </c>
      <c r="F41" s="200"/>
    </row>
    <row r="42" spans="1:6" ht="20.25" customHeight="1">
      <c r="A42" s="203">
        <v>42</v>
      </c>
      <c r="B42" s="51" t="s">
        <v>616</v>
      </c>
      <c r="C42" s="51">
        <f>'eoy24'!J1101</f>
        <v>285010</v>
      </c>
      <c r="D42" s="51">
        <f>'eoy24'!J1146</f>
        <v>0</v>
      </c>
      <c r="E42" s="51">
        <f t="shared" si="1"/>
        <v>285010</v>
      </c>
      <c r="F42" s="200"/>
    </row>
    <row r="43" spans="1:6" ht="20.25" customHeight="1">
      <c r="A43" s="203">
        <v>43</v>
      </c>
      <c r="B43" s="51" t="s">
        <v>617</v>
      </c>
      <c r="C43" s="51">
        <f>'eoy24'!J1103</f>
        <v>0</v>
      </c>
      <c r="D43" s="11"/>
      <c r="E43" s="51">
        <f t="shared" si="1"/>
        <v>0</v>
      </c>
      <c r="F43" s="200"/>
    </row>
    <row r="44" spans="1:6" ht="20.25" customHeight="1">
      <c r="A44" s="203">
        <v>44</v>
      </c>
      <c r="B44" s="51" t="s">
        <v>618</v>
      </c>
      <c r="C44" s="51">
        <f>'eoy24'!J1104+'eoy24'!J1105</f>
        <v>260280</v>
      </c>
      <c r="D44" s="51">
        <f>ROUND('eoy24'!J1148,0)</f>
        <v>0</v>
      </c>
      <c r="E44" s="51">
        <f t="shared" si="1"/>
        <v>260280</v>
      </c>
      <c r="F44" s="200"/>
    </row>
    <row r="45" spans="1:6" ht="20.25" customHeight="1">
      <c r="A45" s="203">
        <v>45</v>
      </c>
      <c r="B45" s="51" t="s">
        <v>619</v>
      </c>
      <c r="C45" s="51">
        <f>ROUND(('eoy24'!J1106+'eoy24'!J1107)*daypctbud,0)</f>
        <v>1864536</v>
      </c>
      <c r="D45" s="51">
        <f>ROUND(('eoy24'!J1149+'eoy24'!J1150)*daypctbud,0)</f>
        <v>0</v>
      </c>
      <c r="E45" s="51">
        <f t="shared" si="1"/>
        <v>1864536</v>
      </c>
      <c r="F45" s="200"/>
    </row>
    <row r="46" spans="1:6" ht="20.25" customHeight="1">
      <c r="A46" s="203">
        <v>46</v>
      </c>
      <c r="B46" s="51" t="s">
        <v>620</v>
      </c>
      <c r="C46" s="51">
        <f>ROUND(('eoy24'!J1108+'eoy24'!J1109)*daypctbud,0)</f>
        <v>0</v>
      </c>
      <c r="D46" s="51">
        <f>ROUND(('eoy24'!J1151+'eoy24'!J1152)*daypctbud,0)</f>
        <v>20000</v>
      </c>
      <c r="E46" s="51">
        <f t="shared" si="1"/>
        <v>20000</v>
      </c>
      <c r="F46" s="200"/>
    </row>
    <row r="47" spans="1:6" ht="20.25" customHeight="1">
      <c r="A47" s="203">
        <v>47</v>
      </c>
      <c r="B47" s="51" t="s">
        <v>621</v>
      </c>
      <c r="C47" s="51">
        <f>ROUND(('eoy24'!J1110+'eoy24'!J1112)*daypctbud,0)</f>
        <v>3110838</v>
      </c>
      <c r="D47" s="51">
        <f>ROUND(('eoy24'!J1153+'eoy24'!J1155)*daypctbud,0)</f>
        <v>0</v>
      </c>
      <c r="E47" s="51">
        <f t="shared" si="1"/>
        <v>3110838</v>
      </c>
      <c r="F47" s="200"/>
    </row>
    <row r="48" spans="1:6" ht="20.25" customHeight="1">
      <c r="A48" s="203">
        <v>48</v>
      </c>
      <c r="B48" s="51" t="s">
        <v>622</v>
      </c>
      <c r="C48" s="48">
        <f>IF($J$12="X",ROUND(daypctbud*'eoy24'!J1111,0),ROUND(0.8*(daypctbud*'eoy24'!J1111),0))</f>
        <v>0</v>
      </c>
      <c r="D48" s="48">
        <f>IF($J$12="X",ROUND(daypctbud*'eoy24'!J1154,0),ROUND(0.8*(daypctbud*'eoy24'!J1154),0))</f>
        <v>450000</v>
      </c>
      <c r="E48" s="51">
        <f t="shared" si="1"/>
        <v>450000</v>
      </c>
      <c r="F48" s="200"/>
    </row>
    <row r="49" spans="1:5" ht="20.25" customHeight="1">
      <c r="A49" s="203">
        <v>49</v>
      </c>
      <c r="B49" s="51" t="s">
        <v>623</v>
      </c>
      <c r="C49" s="51">
        <f>ROUND('eoy24'!J1113*daypctbud,0)</f>
        <v>0</v>
      </c>
      <c r="D49" s="51">
        <f>ROUND('eoy24'!J1156*daypctbud,0)</f>
        <v>0</v>
      </c>
      <c r="E49" s="51">
        <f t="shared" si="1"/>
        <v>0</v>
      </c>
    </row>
    <row r="50" spans="1:5" ht="20.25" customHeight="1">
      <c r="A50" s="203">
        <v>50</v>
      </c>
      <c r="B50" s="51" t="s">
        <v>624</v>
      </c>
      <c r="C50" s="51">
        <f>ROUND('eoy24'!J1114*daypctbud,0)</f>
        <v>0</v>
      </c>
      <c r="D50" s="51">
        <f>ROUND('eoy24'!J1157*daypctbud,0)</f>
        <v>0</v>
      </c>
      <c r="E50" s="51">
        <f t="shared" si="1"/>
        <v>0</v>
      </c>
    </row>
    <row r="51" spans="1:5" ht="20.25" customHeight="1">
      <c r="A51" s="203">
        <v>51</v>
      </c>
      <c r="B51" s="51" t="s">
        <v>625</v>
      </c>
      <c r="C51" s="51">
        <f ca="1">ROUND(SUM('eoy24'!E1124:'eoy24'!G1131),0)-IF(VALUE('eoy24'!C7)&gt;352,projfacaid,0)</f>
        <v>1164824</v>
      </c>
      <c r="D51" s="51">
        <f ca="1">ROUND(SUM('eoy24'!E1167:'eoy24'!G1174),0)-IF(VALUE('eoy24'!C7)&lt;400,projfacaid,0)</f>
        <v>932883</v>
      </c>
      <c r="E51" s="51">
        <f t="shared" ca="1" si="1"/>
        <v>2097707</v>
      </c>
    </row>
    <row r="52" spans="1:5" ht="20.25" customHeight="1">
      <c r="A52" s="203">
        <v>52</v>
      </c>
      <c r="B52" s="51" t="s">
        <v>626</v>
      </c>
      <c r="C52" s="51">
        <f ca="1">SUM(C40:C51)</f>
        <v>23052141</v>
      </c>
      <c r="D52" s="51">
        <f ca="1">SUM(D40:D51)</f>
        <v>1402883</v>
      </c>
      <c r="E52" s="51">
        <f t="shared" ca="1" si="1"/>
        <v>24455024</v>
      </c>
    </row>
    <row r="53" spans="1:5" ht="20.25" customHeight="1">
      <c r="A53" s="203">
        <v>53</v>
      </c>
      <c r="B53" s="51" t="s">
        <v>627</v>
      </c>
      <c r="C53" s="571"/>
      <c r="D53" s="11"/>
      <c r="E53" s="11"/>
    </row>
    <row r="54" spans="1:5" ht="20.25" customHeight="1">
      <c r="A54" s="203">
        <v>54</v>
      </c>
      <c r="B54" s="51" t="s">
        <v>628</v>
      </c>
      <c r="C54" s="82">
        <f ca="1">ROUND(SUM('eoy24'!E1186:'eoy24'!G1188)+SUM('eoy24'!E1192:'eoy24'!G1192)+(('eoy24'!I1186+'eoy24'!I1187+'eoy24'!I1188+'eoy24'!I1190+'eoy24'!I1191+'eoy24'!I1192)*daypctbud),0)</f>
        <v>21000</v>
      </c>
      <c r="D54" s="11"/>
      <c r="E54" s="49">
        <f ca="1">ROUND(C54+D54,0)</f>
        <v>21000</v>
      </c>
    </row>
    <row r="55" spans="1:5" ht="20.25" customHeight="1">
      <c r="A55" s="203">
        <v>55</v>
      </c>
      <c r="B55" s="51" t="s">
        <v>629</v>
      </c>
      <c r="C55" s="571"/>
      <c r="D55" s="98">
        <v>112787.61451144787</v>
      </c>
      <c r="E55" s="49">
        <f>ROUND(D55,0)</f>
        <v>112788</v>
      </c>
    </row>
    <row r="56" spans="1:5" ht="20.25" customHeight="1">
      <c r="A56" s="203">
        <v>56</v>
      </c>
      <c r="B56" s="51" t="s">
        <v>630</v>
      </c>
      <c r="C56" s="82">
        <f ca="1">ROUND(C54, 0)</f>
        <v>21000</v>
      </c>
      <c r="D56" s="82">
        <f>ROUND(SUM(D54:D55), 0)</f>
        <v>112788</v>
      </c>
      <c r="E56" s="49">
        <f ca="1">ROUND(C56+D56,0)</f>
        <v>133788</v>
      </c>
    </row>
    <row r="57" spans="1:5" ht="20.25" customHeight="1">
      <c r="A57" s="203">
        <v>57</v>
      </c>
      <c r="B57" s="11"/>
      <c r="C57" s="571"/>
      <c r="D57" s="11"/>
      <c r="E57" s="11"/>
    </row>
    <row r="58" spans="1:5" ht="20.25" customHeight="1">
      <c r="A58" s="203">
        <v>58</v>
      </c>
      <c r="B58" s="51" t="s">
        <v>631</v>
      </c>
      <c r="C58" s="6">
        <f ca="1">IF(C52-C56&gt;0,C52-C56,0)</f>
        <v>23031141</v>
      </c>
      <c r="D58" s="6">
        <f ca="1">IF(D52-D56&gt;0,D52-D56,0)</f>
        <v>1290095</v>
      </c>
      <c r="E58" s="6">
        <f ca="1">IF(E52-E56&gt;0,E52-E56,0)</f>
        <v>24321236</v>
      </c>
    </row>
    <row r="59" spans="1:5" ht="20.25" customHeight="1">
      <c r="A59" s="203">
        <v>59</v>
      </c>
      <c r="B59" s="82" t="s">
        <v>632</v>
      </c>
      <c r="C59" s="571"/>
      <c r="D59" s="11"/>
      <c r="E59" s="94">
        <v>21584939</v>
      </c>
    </row>
    <row r="60" spans="1:5" ht="20.25" customHeight="1">
      <c r="A60" s="203">
        <v>60</v>
      </c>
      <c r="B60" s="82" t="s">
        <v>633</v>
      </c>
      <c r="C60" s="571"/>
      <c r="D60" s="11"/>
      <c r="E60" s="6">
        <f ca="1">F34</f>
        <v>0</v>
      </c>
    </row>
    <row r="61" spans="1:5" ht="20.25" customHeight="1">
      <c r="A61" s="203">
        <v>61</v>
      </c>
      <c r="B61" s="19" t="s">
        <v>634</v>
      </c>
      <c r="C61" s="571"/>
      <c r="D61" s="11"/>
      <c r="E61" s="6">
        <f ca="1">E60+E59</f>
        <v>21584939</v>
      </c>
    </row>
    <row r="62" spans="1:5" ht="20.25" customHeight="1">
      <c r="A62" s="203">
        <v>62</v>
      </c>
      <c r="B62" s="205" t="s">
        <v>635</v>
      </c>
      <c r="C62" s="570"/>
      <c r="D62" s="12"/>
      <c r="E62" s="43">
        <f ca="1">IF(E58&lt;E61,E61-E58,0)</f>
        <v>0</v>
      </c>
    </row>
    <row r="65" spans="1:12" ht="20.25" customHeight="1">
      <c r="A65" s="203"/>
      <c r="B65" s="177" t="s">
        <v>636</v>
      </c>
      <c r="D65" s="177" t="str">
        <f>'eoy24'!$C$7&amp;" "&amp;'eoy24'!$D$7</f>
        <v>162 Lunenburg</v>
      </c>
    </row>
    <row r="66" spans="1:12" ht="82.5" customHeight="1">
      <c r="A66" s="203"/>
      <c r="L66" s="598" t="s">
        <v>637</v>
      </c>
    </row>
    <row r="67" spans="1:12" ht="62.45">
      <c r="A67" s="203"/>
      <c r="B67" s="206" t="s">
        <v>638</v>
      </c>
      <c r="C67" s="574"/>
      <c r="D67" s="207" t="s">
        <v>639</v>
      </c>
      <c r="E67" s="207" t="s">
        <v>640</v>
      </c>
      <c r="F67" s="207" t="s">
        <v>641</v>
      </c>
      <c r="G67" s="208" t="s">
        <v>642</v>
      </c>
      <c r="I67" s="252" t="s">
        <v>643</v>
      </c>
      <c r="J67" s="252" t="s">
        <v>644</v>
      </c>
      <c r="L67" s="252" t="s">
        <v>645</v>
      </c>
    </row>
    <row r="68" spans="1:12" ht="20.25" customHeight="1">
      <c r="A68" s="203">
        <v>68</v>
      </c>
      <c r="B68" s="18" t="s">
        <v>646</v>
      </c>
      <c r="D68" s="96">
        <v>212538</v>
      </c>
      <c r="E68" s="96">
        <v>474239</v>
      </c>
      <c r="F68" s="149">
        <f>'eoy24'!J27</f>
        <v>171040</v>
      </c>
      <c r="G68" s="209">
        <f>IF(E68&gt;0,(F68-E68)/E68,IF(F68&gt;0,1,0))</f>
        <v>-0.63933797093870393</v>
      </c>
      <c r="I68" s="226" t="str">
        <f>IF(J68="OK","", IF(AND(ABS(G68)&gt;0.25,ABS(F68-E68)&gt;100000),"Please Review",""))</f>
        <v/>
      </c>
      <c r="J68" s="489" t="s">
        <v>647</v>
      </c>
      <c r="K68" s="491">
        <f>IF(I68="Please Review", 1, 0)</f>
        <v>0</v>
      </c>
      <c r="L68" s="489"/>
    </row>
    <row r="69" spans="1:12" ht="63" customHeight="1">
      <c r="A69" s="203"/>
      <c r="B69" s="206" t="s">
        <v>648</v>
      </c>
      <c r="C69" s="575"/>
      <c r="D69" s="207" t="s">
        <v>639</v>
      </c>
      <c r="E69" s="207" t="s">
        <v>640</v>
      </c>
      <c r="F69" s="207" t="s">
        <v>641</v>
      </c>
      <c r="G69" s="208" t="s">
        <v>642</v>
      </c>
    </row>
    <row r="70" spans="1:12" ht="20.25" customHeight="1">
      <c r="A70" s="203">
        <v>70</v>
      </c>
      <c r="B70" s="18" t="s">
        <v>649</v>
      </c>
      <c r="C70" s="575"/>
      <c r="D70" s="96">
        <v>5773</v>
      </c>
      <c r="E70" s="96">
        <v>5027</v>
      </c>
      <c r="F70" s="149">
        <f>'eoy24'!J66</f>
        <v>2336</v>
      </c>
      <c r="G70" s="209">
        <f t="shared" ref="G70:G108" si="2">IF(E70&gt;0,(F70-E70)/E70,IF(F70&gt;0,1,0))</f>
        <v>-0.53530932962005173</v>
      </c>
      <c r="I70" s="226" t="str">
        <f t="shared" ref="I70:I108" si="3">IF(J70="OK","", IF(AND(ABS(G70)&gt;0.25,ABS(F70-E70)&gt;100000),"Please Review",""))</f>
        <v/>
      </c>
      <c r="J70" s="489"/>
      <c r="K70" s="491">
        <f t="shared" ref="K70:K135" si="4">IF(I70="Please Review", 1, 0)</f>
        <v>0</v>
      </c>
      <c r="L70" s="489"/>
    </row>
    <row r="71" spans="1:12" ht="20.25" customHeight="1">
      <c r="A71" s="203">
        <v>71</v>
      </c>
      <c r="B71" s="18" t="s">
        <v>650</v>
      </c>
      <c r="C71" s="575"/>
      <c r="D71" s="96">
        <v>304431</v>
      </c>
      <c r="E71" s="96">
        <v>319750</v>
      </c>
      <c r="F71" s="149">
        <f>'eoy24'!J74</f>
        <v>380243</v>
      </c>
      <c r="G71" s="209">
        <f t="shared" si="2"/>
        <v>0.18918842845973416</v>
      </c>
      <c r="I71" s="226" t="str">
        <f t="shared" si="3"/>
        <v/>
      </c>
      <c r="J71" s="489"/>
      <c r="K71" s="491">
        <f t="shared" si="4"/>
        <v>0</v>
      </c>
      <c r="L71" s="489"/>
    </row>
    <row r="72" spans="1:12" ht="20.25" customHeight="1">
      <c r="A72" s="203">
        <v>72</v>
      </c>
      <c r="B72" s="18" t="s">
        <v>651</v>
      </c>
      <c r="C72" s="575"/>
      <c r="D72" s="96">
        <v>0</v>
      </c>
      <c r="E72" s="96">
        <v>0</v>
      </c>
      <c r="F72" s="149">
        <f>'eoy24'!J82</f>
        <v>0</v>
      </c>
      <c r="G72" s="209">
        <f t="shared" si="2"/>
        <v>0</v>
      </c>
      <c r="I72" s="226" t="str">
        <f t="shared" si="3"/>
        <v/>
      </c>
      <c r="J72" s="489"/>
      <c r="K72" s="491">
        <f t="shared" si="4"/>
        <v>0</v>
      </c>
      <c r="L72" s="489"/>
    </row>
    <row r="73" spans="1:12" ht="20.25" customHeight="1">
      <c r="A73" s="203">
        <v>73</v>
      </c>
      <c r="B73" s="18" t="s">
        <v>652</v>
      </c>
      <c r="C73" s="575"/>
      <c r="D73" s="96">
        <v>85103</v>
      </c>
      <c r="E73" s="96">
        <v>44656</v>
      </c>
      <c r="F73" s="149">
        <f>'eoy24'!J90</f>
        <v>46046</v>
      </c>
      <c r="G73" s="209">
        <f t="shared" si="2"/>
        <v>3.1126836259405231E-2</v>
      </c>
      <c r="I73" s="226" t="str">
        <f t="shared" si="3"/>
        <v/>
      </c>
      <c r="J73" s="489"/>
      <c r="K73" s="491">
        <f t="shared" si="4"/>
        <v>0</v>
      </c>
      <c r="L73" s="489"/>
    </row>
    <row r="74" spans="1:12" ht="20.25" customHeight="1">
      <c r="A74" s="203">
        <v>74</v>
      </c>
      <c r="B74" s="18" t="s">
        <v>653</v>
      </c>
      <c r="C74" s="575"/>
      <c r="D74" s="96">
        <v>141186</v>
      </c>
      <c r="E74" s="96">
        <v>91185</v>
      </c>
      <c r="F74" s="149">
        <f>'eoy24'!J98</f>
        <v>263354</v>
      </c>
      <c r="G74" s="209">
        <f t="shared" si="2"/>
        <v>1.8881285299117179</v>
      </c>
      <c r="I74" s="226" t="str">
        <f t="shared" si="3"/>
        <v/>
      </c>
      <c r="J74" s="489" t="s">
        <v>647</v>
      </c>
      <c r="K74" s="491">
        <f t="shared" si="4"/>
        <v>0</v>
      </c>
      <c r="L74" s="489" t="s">
        <v>654</v>
      </c>
    </row>
    <row r="75" spans="1:12" ht="20.25" customHeight="1">
      <c r="A75" s="203">
        <v>75</v>
      </c>
      <c r="B75" s="18" t="s">
        <v>655</v>
      </c>
      <c r="C75" s="575"/>
      <c r="D75" s="96">
        <v>62750</v>
      </c>
      <c r="E75" s="96">
        <v>64250</v>
      </c>
      <c r="F75" s="149">
        <f>'eoy24'!J106</f>
        <v>28977</v>
      </c>
      <c r="G75" s="209">
        <f t="shared" si="2"/>
        <v>-0.54899610894941631</v>
      </c>
      <c r="I75" s="226" t="str">
        <f t="shared" si="3"/>
        <v/>
      </c>
      <c r="J75" s="489"/>
      <c r="K75" s="491">
        <f t="shared" si="4"/>
        <v>0</v>
      </c>
      <c r="L75" s="489"/>
    </row>
    <row r="76" spans="1:12" ht="20.25" customHeight="1">
      <c r="A76" s="203">
        <v>76</v>
      </c>
      <c r="B76" s="18" t="s">
        <v>656</v>
      </c>
      <c r="C76" s="575"/>
      <c r="D76" s="96">
        <v>64150</v>
      </c>
      <c r="E76" s="96">
        <v>36200</v>
      </c>
      <c r="F76" s="149">
        <f>'eoy24'!J114</f>
        <v>35992</v>
      </c>
      <c r="G76" s="209">
        <f t="shared" si="2"/>
        <v>-5.7458563535911604E-3</v>
      </c>
      <c r="I76" s="226" t="str">
        <f t="shared" si="3"/>
        <v/>
      </c>
      <c r="J76" s="489"/>
      <c r="K76" s="491">
        <f t="shared" si="4"/>
        <v>0</v>
      </c>
      <c r="L76" s="489"/>
    </row>
    <row r="77" spans="1:12" ht="20.25" customHeight="1">
      <c r="A77" s="203">
        <v>77</v>
      </c>
      <c r="B77" s="18" t="s">
        <v>657</v>
      </c>
      <c r="C77" s="575"/>
      <c r="D77" s="96">
        <v>0</v>
      </c>
      <c r="E77" s="96">
        <v>0</v>
      </c>
      <c r="F77" s="149">
        <f>'eoy24'!J119</f>
        <v>0</v>
      </c>
      <c r="G77" s="209">
        <f t="shared" si="2"/>
        <v>0</v>
      </c>
      <c r="I77" s="226" t="str">
        <f t="shared" si="3"/>
        <v/>
      </c>
      <c r="J77" s="489"/>
      <c r="K77" s="491">
        <f t="shared" si="4"/>
        <v>0</v>
      </c>
      <c r="L77" s="489"/>
    </row>
    <row r="78" spans="1:12" ht="20.25" customHeight="1">
      <c r="A78" s="203">
        <v>78</v>
      </c>
      <c r="B78" s="18" t="s">
        <v>658</v>
      </c>
      <c r="C78" s="575"/>
      <c r="D78" s="96">
        <v>343208</v>
      </c>
      <c r="E78" s="96">
        <v>408245</v>
      </c>
      <c r="F78" s="149">
        <f>'eoy24'!J124</f>
        <v>174917</v>
      </c>
      <c r="G78" s="209">
        <f t="shared" si="2"/>
        <v>-0.57153914928535565</v>
      </c>
      <c r="I78" s="226" t="str">
        <f t="shared" si="3"/>
        <v/>
      </c>
      <c r="J78" s="489" t="s">
        <v>647</v>
      </c>
      <c r="K78" s="491">
        <f t="shared" si="4"/>
        <v>0</v>
      </c>
      <c r="L78" s="489"/>
    </row>
    <row r="79" spans="1:12" ht="20.25" customHeight="1">
      <c r="A79" s="203">
        <v>79</v>
      </c>
      <c r="B79" s="18" t="s">
        <v>659</v>
      </c>
      <c r="D79" s="96">
        <v>0</v>
      </c>
      <c r="E79" s="96">
        <v>0</v>
      </c>
      <c r="F79" s="149">
        <f>'eoy24'!J288</f>
        <v>0</v>
      </c>
      <c r="G79" s="209">
        <f t="shared" si="2"/>
        <v>0</v>
      </c>
      <c r="I79" s="226" t="str">
        <f t="shared" si="3"/>
        <v/>
      </c>
      <c r="J79" s="489"/>
      <c r="K79" s="491">
        <f t="shared" si="4"/>
        <v>0</v>
      </c>
      <c r="L79" s="489"/>
    </row>
    <row r="80" spans="1:12" ht="20.25" customHeight="1">
      <c r="A80" s="203">
        <v>80</v>
      </c>
      <c r="B80" s="18" t="s">
        <v>660</v>
      </c>
      <c r="D80" s="96">
        <v>356066</v>
      </c>
      <c r="E80" s="96">
        <v>273666</v>
      </c>
      <c r="F80" s="149">
        <f>'eoy24'!J296</f>
        <v>248493</v>
      </c>
      <c r="G80" s="209">
        <f t="shared" si="2"/>
        <v>-9.1984389730547456E-2</v>
      </c>
      <c r="I80" s="226" t="str">
        <f t="shared" si="3"/>
        <v/>
      </c>
      <c r="J80" s="489"/>
      <c r="K80" s="491">
        <f t="shared" si="4"/>
        <v>0</v>
      </c>
      <c r="L80" s="489"/>
    </row>
    <row r="81" spans="1:11" ht="20.25" customHeight="1">
      <c r="A81" s="203">
        <v>81</v>
      </c>
      <c r="B81" s="18" t="s">
        <v>661</v>
      </c>
      <c r="D81" s="96">
        <v>968815</v>
      </c>
      <c r="E81" s="96">
        <v>1158144</v>
      </c>
      <c r="F81" s="149">
        <f>'eoy24'!J304</f>
        <v>1318927</v>
      </c>
      <c r="G81" s="209">
        <f t="shared" si="2"/>
        <v>0.13882815953801944</v>
      </c>
      <c r="I81" s="226" t="str">
        <f t="shared" si="3"/>
        <v/>
      </c>
      <c r="J81" s="489"/>
      <c r="K81" s="491">
        <f t="shared" si="4"/>
        <v>0</v>
      </c>
    </row>
    <row r="82" spans="1:11" ht="20.25" customHeight="1">
      <c r="A82" s="203">
        <v>82</v>
      </c>
      <c r="B82" s="18" t="s">
        <v>662</v>
      </c>
      <c r="D82" s="96">
        <v>0</v>
      </c>
      <c r="E82" s="96">
        <v>0</v>
      </c>
      <c r="F82" s="149">
        <f>'eoy24'!J312</f>
        <v>0</v>
      </c>
      <c r="G82" s="209">
        <f t="shared" si="2"/>
        <v>0</v>
      </c>
      <c r="I82" s="226" t="str">
        <f t="shared" si="3"/>
        <v/>
      </c>
      <c r="J82" s="489"/>
      <c r="K82" s="491">
        <f t="shared" si="4"/>
        <v>0</v>
      </c>
    </row>
    <row r="83" spans="1:11" ht="20.25" customHeight="1">
      <c r="A83" s="203">
        <v>83</v>
      </c>
      <c r="B83" s="18" t="s">
        <v>663</v>
      </c>
      <c r="D83" s="96">
        <v>395939</v>
      </c>
      <c r="E83" s="96">
        <v>335766</v>
      </c>
      <c r="F83" s="149">
        <f>'eoy24'!J320</f>
        <v>296561</v>
      </c>
      <c r="G83" s="209">
        <f t="shared" si="2"/>
        <v>-0.11676286461404668</v>
      </c>
      <c r="I83" s="226" t="str">
        <f t="shared" si="3"/>
        <v/>
      </c>
      <c r="J83" s="489"/>
      <c r="K83" s="491">
        <f t="shared" si="4"/>
        <v>0</v>
      </c>
    </row>
    <row r="84" spans="1:11" ht="20.25" customHeight="1">
      <c r="A84" s="203">
        <v>84</v>
      </c>
      <c r="B84" s="18" t="s">
        <v>664</v>
      </c>
      <c r="D84" s="96">
        <v>44202</v>
      </c>
      <c r="E84" s="96">
        <v>15001</v>
      </c>
      <c r="F84" s="149">
        <f>'eoy24'!J328</f>
        <v>15295</v>
      </c>
      <c r="G84" s="209">
        <f t="shared" si="2"/>
        <v>1.9598693420438639E-2</v>
      </c>
      <c r="I84" s="226" t="str">
        <f t="shared" si="3"/>
        <v/>
      </c>
      <c r="J84" s="489"/>
      <c r="K84" s="491">
        <f t="shared" si="4"/>
        <v>0</v>
      </c>
    </row>
    <row r="85" spans="1:11" ht="20.25" customHeight="1">
      <c r="A85" s="203">
        <v>85</v>
      </c>
      <c r="B85" s="18" t="s">
        <v>665</v>
      </c>
      <c r="D85" s="96">
        <v>0</v>
      </c>
      <c r="E85" s="96">
        <v>0</v>
      </c>
      <c r="F85" s="149">
        <f>'eoy24'!J388</f>
        <v>0</v>
      </c>
      <c r="G85" s="209">
        <f t="shared" si="2"/>
        <v>0</v>
      </c>
      <c r="I85" s="226" t="str">
        <f t="shared" si="3"/>
        <v/>
      </c>
      <c r="J85" s="489"/>
      <c r="K85" s="491">
        <f t="shared" si="4"/>
        <v>0</v>
      </c>
    </row>
    <row r="86" spans="1:11" ht="20.25" customHeight="1">
      <c r="A86" s="203">
        <v>86</v>
      </c>
      <c r="B86" s="18" t="s">
        <v>666</v>
      </c>
      <c r="D86" s="96">
        <v>0</v>
      </c>
      <c r="E86" s="96">
        <v>0</v>
      </c>
      <c r="F86" s="149">
        <f>'eoy24'!J400</f>
        <v>0</v>
      </c>
      <c r="G86" s="209">
        <f t="shared" si="2"/>
        <v>0</v>
      </c>
      <c r="I86" s="226" t="str">
        <f t="shared" si="3"/>
        <v/>
      </c>
      <c r="J86" s="489"/>
      <c r="K86" s="491">
        <f t="shared" si="4"/>
        <v>0</v>
      </c>
    </row>
    <row r="87" spans="1:11" ht="20.25" customHeight="1">
      <c r="A87" s="203">
        <v>87</v>
      </c>
      <c r="B87" s="18" t="s">
        <v>667</v>
      </c>
      <c r="D87" s="96">
        <v>12147</v>
      </c>
      <c r="E87" s="96">
        <v>37611</v>
      </c>
      <c r="F87" s="149">
        <f>'eoy24'!J406</f>
        <v>0</v>
      </c>
      <c r="G87" s="209">
        <f t="shared" si="2"/>
        <v>-1</v>
      </c>
      <c r="I87" s="226" t="str">
        <f t="shared" si="3"/>
        <v/>
      </c>
      <c r="J87" s="489"/>
      <c r="K87" s="491">
        <f t="shared" si="4"/>
        <v>0</v>
      </c>
    </row>
    <row r="88" spans="1:11" ht="20.25" customHeight="1">
      <c r="A88" s="203">
        <v>88</v>
      </c>
      <c r="B88" s="18" t="s">
        <v>668</v>
      </c>
      <c r="D88" s="96">
        <v>2593020</v>
      </c>
      <c r="E88" s="96">
        <v>3041337</v>
      </c>
      <c r="F88" s="149">
        <f>'eoy24'!J408</f>
        <v>242505</v>
      </c>
      <c r="G88" s="209">
        <f t="shared" si="2"/>
        <v>-0.92026368666149128</v>
      </c>
      <c r="I88" s="226" t="str">
        <f t="shared" si="3"/>
        <v/>
      </c>
      <c r="J88" s="489" t="s">
        <v>647</v>
      </c>
      <c r="K88" s="491">
        <f t="shared" si="4"/>
        <v>0</v>
      </c>
    </row>
    <row r="89" spans="1:11" ht="20.25" customHeight="1">
      <c r="A89" s="203">
        <v>89</v>
      </c>
      <c r="B89" s="18" t="s">
        <v>669</v>
      </c>
      <c r="D89" s="96">
        <v>0</v>
      </c>
      <c r="E89" s="96">
        <v>0</v>
      </c>
      <c r="F89" s="149">
        <f>'eoy24'!J409</f>
        <v>1221146</v>
      </c>
      <c r="G89" s="209">
        <f t="shared" si="2"/>
        <v>1</v>
      </c>
      <c r="I89" s="226" t="str">
        <f t="shared" si="3"/>
        <v/>
      </c>
      <c r="J89" s="489" t="s">
        <v>647</v>
      </c>
      <c r="K89" s="491">
        <f t="shared" si="4"/>
        <v>0</v>
      </c>
    </row>
    <row r="90" spans="1:11" ht="20.25" customHeight="1">
      <c r="A90" s="203">
        <v>90</v>
      </c>
      <c r="B90" s="18" t="s">
        <v>670</v>
      </c>
      <c r="D90" s="96">
        <v>0</v>
      </c>
      <c r="E90" s="96">
        <v>0</v>
      </c>
      <c r="F90" s="149">
        <f>'eoy24'!J410</f>
        <v>0</v>
      </c>
      <c r="G90" s="209">
        <f t="shared" si="2"/>
        <v>0</v>
      </c>
      <c r="I90" s="226" t="str">
        <f t="shared" si="3"/>
        <v/>
      </c>
      <c r="J90" s="489"/>
      <c r="K90" s="491">
        <f t="shared" si="4"/>
        <v>0</v>
      </c>
    </row>
    <row r="91" spans="1:11" ht="20.25" customHeight="1">
      <c r="A91" s="203">
        <v>91</v>
      </c>
      <c r="B91" s="18" t="s">
        <v>671</v>
      </c>
      <c r="D91" s="96">
        <v>0</v>
      </c>
      <c r="E91" s="96">
        <v>0</v>
      </c>
      <c r="F91" s="149">
        <f>'eoy24'!J413</f>
        <v>0</v>
      </c>
      <c r="G91" s="209">
        <f t="shared" si="2"/>
        <v>0</v>
      </c>
      <c r="I91" s="226" t="str">
        <f t="shared" si="3"/>
        <v/>
      </c>
      <c r="J91" s="489"/>
      <c r="K91" s="491">
        <f t="shared" si="4"/>
        <v>0</v>
      </c>
    </row>
    <row r="92" spans="1:11" ht="20.25" customHeight="1">
      <c r="A92" s="203">
        <v>92</v>
      </c>
      <c r="B92" s="18" t="s">
        <v>672</v>
      </c>
      <c r="D92" s="96">
        <v>0</v>
      </c>
      <c r="E92" s="96">
        <v>0</v>
      </c>
      <c r="F92" s="149">
        <f>'eoy24'!J414</f>
        <v>0</v>
      </c>
      <c r="G92" s="209">
        <f t="shared" si="2"/>
        <v>0</v>
      </c>
      <c r="I92" s="226" t="str">
        <f t="shared" si="3"/>
        <v/>
      </c>
      <c r="J92" s="489"/>
      <c r="K92" s="491">
        <f t="shared" si="4"/>
        <v>0</v>
      </c>
    </row>
    <row r="93" spans="1:11" ht="20.25" customHeight="1">
      <c r="A93" s="203">
        <v>93</v>
      </c>
      <c r="B93" s="18" t="s">
        <v>673</v>
      </c>
      <c r="D93" s="96">
        <v>0</v>
      </c>
      <c r="E93" s="96">
        <v>0</v>
      </c>
      <c r="F93" s="149">
        <f>'eoy24'!J415</f>
        <v>0</v>
      </c>
      <c r="G93" s="209">
        <f t="shared" si="2"/>
        <v>0</v>
      </c>
      <c r="I93" s="226" t="str">
        <f t="shared" si="3"/>
        <v/>
      </c>
      <c r="J93" s="489"/>
      <c r="K93" s="491">
        <f t="shared" si="4"/>
        <v>0</v>
      </c>
    </row>
    <row r="94" spans="1:11" ht="20.25" customHeight="1">
      <c r="A94" s="203">
        <v>94</v>
      </c>
      <c r="B94" s="18" t="s">
        <v>674</v>
      </c>
      <c r="D94" s="96">
        <v>0</v>
      </c>
      <c r="E94" s="96">
        <v>0</v>
      </c>
      <c r="F94" s="149">
        <f>'eoy24'!J416</f>
        <v>0</v>
      </c>
      <c r="G94" s="209">
        <f t="shared" si="2"/>
        <v>0</v>
      </c>
      <c r="I94" s="226" t="str">
        <f t="shared" si="3"/>
        <v/>
      </c>
      <c r="J94" s="489"/>
      <c r="K94" s="491">
        <f t="shared" si="4"/>
        <v>0</v>
      </c>
    </row>
    <row r="95" spans="1:11" ht="20.25" customHeight="1">
      <c r="A95" s="203">
        <v>95</v>
      </c>
      <c r="B95" s="18" t="s">
        <v>675</v>
      </c>
      <c r="D95" s="96">
        <v>0</v>
      </c>
      <c r="E95" s="96">
        <v>0</v>
      </c>
      <c r="F95" s="149">
        <f>'eoy24'!J417</f>
        <v>0</v>
      </c>
      <c r="G95" s="209">
        <f t="shared" si="2"/>
        <v>0</v>
      </c>
      <c r="I95" s="226" t="str">
        <f t="shared" si="3"/>
        <v/>
      </c>
      <c r="J95" s="489"/>
      <c r="K95" s="491">
        <f t="shared" si="4"/>
        <v>0</v>
      </c>
    </row>
    <row r="96" spans="1:11" ht="20.25" customHeight="1">
      <c r="A96" s="203">
        <v>96</v>
      </c>
      <c r="B96" s="18" t="s">
        <v>676</v>
      </c>
      <c r="D96" s="96">
        <v>0</v>
      </c>
      <c r="E96" s="96">
        <v>0</v>
      </c>
      <c r="F96" s="149">
        <f>'eoy24'!J453</f>
        <v>0</v>
      </c>
      <c r="G96" s="209">
        <f t="shared" si="2"/>
        <v>0</v>
      </c>
      <c r="I96" s="226" t="str">
        <f t="shared" si="3"/>
        <v/>
      </c>
      <c r="J96" s="489"/>
      <c r="K96" s="491">
        <f t="shared" si="4"/>
        <v>0</v>
      </c>
    </row>
    <row r="97" spans="1:12" ht="20.25" customHeight="1">
      <c r="A97" s="203">
        <v>97</v>
      </c>
      <c r="B97" s="18" t="s">
        <v>677</v>
      </c>
      <c r="D97" s="96">
        <v>0</v>
      </c>
      <c r="E97" s="96">
        <v>0</v>
      </c>
      <c r="F97" s="149">
        <f>'eoy24'!J459</f>
        <v>0</v>
      </c>
      <c r="G97" s="209">
        <f t="shared" si="2"/>
        <v>0</v>
      </c>
      <c r="I97" s="226" t="str">
        <f t="shared" si="3"/>
        <v/>
      </c>
      <c r="J97" s="489"/>
      <c r="K97" s="491">
        <f t="shared" si="4"/>
        <v>0</v>
      </c>
      <c r="L97" s="489"/>
    </row>
    <row r="98" spans="1:12" ht="20.25" customHeight="1">
      <c r="A98" s="203">
        <v>98</v>
      </c>
      <c r="B98" s="18" t="s">
        <v>678</v>
      </c>
      <c r="D98" s="96">
        <v>0</v>
      </c>
      <c r="E98" s="96">
        <v>0</v>
      </c>
      <c r="F98" s="149">
        <f>'eoy24'!J460</f>
        <v>0</v>
      </c>
      <c r="G98" s="209">
        <f t="shared" si="2"/>
        <v>0</v>
      </c>
      <c r="I98" s="226" t="str">
        <f t="shared" si="3"/>
        <v/>
      </c>
      <c r="J98" s="489"/>
      <c r="K98" s="491">
        <f t="shared" si="4"/>
        <v>0</v>
      </c>
      <c r="L98" s="489"/>
    </row>
    <row r="99" spans="1:12" ht="20.25" customHeight="1">
      <c r="A99" s="203">
        <v>99</v>
      </c>
      <c r="B99" s="18" t="s">
        <v>679</v>
      </c>
      <c r="D99" s="96">
        <v>0</v>
      </c>
      <c r="E99" s="96">
        <v>0</v>
      </c>
      <c r="F99" s="149">
        <f>'eoy24'!J461</f>
        <v>0</v>
      </c>
      <c r="G99" s="209">
        <f t="shared" si="2"/>
        <v>0</v>
      </c>
      <c r="I99" s="226" t="str">
        <f t="shared" si="3"/>
        <v/>
      </c>
      <c r="J99" s="489"/>
      <c r="K99" s="491">
        <f t="shared" si="4"/>
        <v>0</v>
      </c>
      <c r="L99" s="489"/>
    </row>
    <row r="100" spans="1:12" ht="19.5" customHeight="1">
      <c r="A100" s="203">
        <v>100</v>
      </c>
      <c r="B100" s="18" t="s">
        <v>680</v>
      </c>
      <c r="D100" s="96">
        <v>0</v>
      </c>
      <c r="E100" s="96">
        <v>0</v>
      </c>
      <c r="F100" s="149">
        <f>'eoy24'!J464</f>
        <v>0</v>
      </c>
      <c r="G100" s="209">
        <f t="shared" si="2"/>
        <v>0</v>
      </c>
      <c r="I100" s="226" t="str">
        <f t="shared" si="3"/>
        <v/>
      </c>
      <c r="J100" s="489"/>
      <c r="K100" s="491">
        <f t="shared" si="4"/>
        <v>0</v>
      </c>
      <c r="L100" s="489"/>
    </row>
    <row r="101" spans="1:12" ht="19.5" customHeight="1">
      <c r="A101" s="203">
        <v>101</v>
      </c>
      <c r="B101" s="18" t="s">
        <v>681</v>
      </c>
      <c r="D101" s="96">
        <v>0</v>
      </c>
      <c r="E101" s="96">
        <v>0</v>
      </c>
      <c r="F101" s="149">
        <f>'eoy24'!J465</f>
        <v>0</v>
      </c>
      <c r="G101" s="209">
        <f t="shared" si="2"/>
        <v>0</v>
      </c>
      <c r="I101" s="226" t="str">
        <f t="shared" si="3"/>
        <v/>
      </c>
      <c r="J101" s="489"/>
      <c r="K101" s="491">
        <f t="shared" si="4"/>
        <v>0</v>
      </c>
      <c r="L101" s="489"/>
    </row>
    <row r="102" spans="1:12" ht="19.5" customHeight="1">
      <c r="A102" s="203">
        <v>102</v>
      </c>
      <c r="B102" s="18" t="s">
        <v>682</v>
      </c>
      <c r="D102" s="96">
        <v>0</v>
      </c>
      <c r="E102" s="96">
        <v>0</v>
      </c>
      <c r="F102" s="149">
        <f>'eoy24'!J466</f>
        <v>0</v>
      </c>
      <c r="G102" s="209">
        <f t="shared" si="2"/>
        <v>0</v>
      </c>
      <c r="I102" s="226" t="str">
        <f t="shared" si="3"/>
        <v/>
      </c>
      <c r="J102" s="489"/>
      <c r="K102" s="491">
        <f t="shared" si="4"/>
        <v>0</v>
      </c>
      <c r="L102" s="489"/>
    </row>
    <row r="103" spans="1:12" ht="19.5" customHeight="1">
      <c r="A103" s="203">
        <v>103</v>
      </c>
      <c r="B103" s="18" t="s">
        <v>683</v>
      </c>
      <c r="D103" s="96">
        <v>0</v>
      </c>
      <c r="E103" s="96">
        <v>0</v>
      </c>
      <c r="F103" s="149">
        <f>'eoy24'!J467</f>
        <v>0</v>
      </c>
      <c r="G103" s="209">
        <f t="shared" si="2"/>
        <v>0</v>
      </c>
      <c r="I103" s="226" t="str">
        <f t="shared" si="3"/>
        <v/>
      </c>
      <c r="J103" s="489"/>
      <c r="K103" s="491">
        <f t="shared" si="4"/>
        <v>0</v>
      </c>
      <c r="L103" s="489"/>
    </row>
    <row r="104" spans="1:12" ht="19.5" customHeight="1">
      <c r="A104" s="203">
        <v>104</v>
      </c>
      <c r="B104" s="18" t="s">
        <v>684</v>
      </c>
      <c r="D104" s="94">
        <v>0</v>
      </c>
      <c r="E104" s="96">
        <v>0</v>
      </c>
      <c r="F104" s="149">
        <f>'eoy24'!J468</f>
        <v>0</v>
      </c>
      <c r="G104" s="209">
        <f t="shared" si="2"/>
        <v>0</v>
      </c>
      <c r="I104" s="226" t="str">
        <f t="shared" si="3"/>
        <v/>
      </c>
      <c r="J104" s="489"/>
      <c r="K104" s="491"/>
      <c r="L104" s="489"/>
    </row>
    <row r="105" spans="1:12" ht="20.25" customHeight="1">
      <c r="A105" s="203">
        <v>105</v>
      </c>
      <c r="B105" s="18" t="s">
        <v>685</v>
      </c>
      <c r="D105" s="96">
        <v>0</v>
      </c>
      <c r="E105" s="96">
        <v>0</v>
      </c>
      <c r="F105" s="149">
        <f>'eoy24'!J469</f>
        <v>0</v>
      </c>
      <c r="G105" s="209">
        <f t="shared" si="2"/>
        <v>0</v>
      </c>
      <c r="I105" s="226" t="str">
        <f t="shared" si="3"/>
        <v/>
      </c>
      <c r="J105" s="489"/>
      <c r="K105" s="491">
        <f t="shared" si="4"/>
        <v>0</v>
      </c>
      <c r="L105" s="489"/>
    </row>
    <row r="106" spans="1:12" ht="20.25" customHeight="1">
      <c r="A106" s="203">
        <v>106</v>
      </c>
      <c r="B106" s="18" t="s">
        <v>686</v>
      </c>
      <c r="D106" s="96">
        <v>249557</v>
      </c>
      <c r="E106" s="96">
        <v>118194</v>
      </c>
      <c r="F106" s="149">
        <f>'eoy24'!J470</f>
        <v>397529</v>
      </c>
      <c r="G106" s="209">
        <f t="shared" si="2"/>
        <v>2.3633602382523646</v>
      </c>
      <c r="I106" s="226" t="str">
        <f t="shared" si="3"/>
        <v/>
      </c>
      <c r="J106" s="489" t="s">
        <v>647</v>
      </c>
      <c r="K106" s="491">
        <f t="shared" si="4"/>
        <v>0</v>
      </c>
      <c r="L106" s="489"/>
    </row>
    <row r="107" spans="1:12" ht="20.25" customHeight="1">
      <c r="A107" s="203">
        <v>107</v>
      </c>
      <c r="B107" s="18" t="s">
        <v>687</v>
      </c>
      <c r="D107" s="96">
        <v>147676</v>
      </c>
      <c r="E107" s="96">
        <v>186554</v>
      </c>
      <c r="F107" s="149">
        <f>'eoy24'!J471</f>
        <v>190979</v>
      </c>
      <c r="G107" s="209">
        <f t="shared" si="2"/>
        <v>2.3719673660173461E-2</v>
      </c>
      <c r="I107" s="226" t="str">
        <f t="shared" si="3"/>
        <v/>
      </c>
      <c r="J107" s="489"/>
      <c r="K107" s="491">
        <f t="shared" si="4"/>
        <v>0</v>
      </c>
      <c r="L107" s="489"/>
    </row>
    <row r="108" spans="1:12" ht="20.25" customHeight="1">
      <c r="A108" s="203">
        <v>108</v>
      </c>
      <c r="B108" s="18" t="s">
        <v>688</v>
      </c>
      <c r="D108" s="96">
        <v>21649287.620000001</v>
      </c>
      <c r="E108" s="96">
        <v>22320736.469999999</v>
      </c>
      <c r="F108" s="149">
        <f ca="1">'eoy24'!J473</f>
        <v>20700534</v>
      </c>
      <c r="G108" s="209">
        <f t="shared" ca="1" si="2"/>
        <v>-7.2587321308937025E-2</v>
      </c>
      <c r="I108" s="226" t="str">
        <f t="shared" ca="1" si="3"/>
        <v/>
      </c>
      <c r="J108" s="489"/>
      <c r="K108" s="491">
        <f t="shared" ca="1" si="4"/>
        <v>0</v>
      </c>
      <c r="L108" s="489"/>
    </row>
    <row r="109" spans="1:12" ht="20.25" customHeight="1">
      <c r="A109" s="203"/>
      <c r="G109" s="210"/>
    </row>
    <row r="110" spans="1:12" ht="20.25" customHeight="1">
      <c r="A110" s="203"/>
      <c r="B110" s="177" t="s">
        <v>689</v>
      </c>
      <c r="G110" s="210"/>
    </row>
    <row r="111" spans="1:12" ht="20.25" customHeight="1">
      <c r="A111" s="203"/>
      <c r="G111" s="210"/>
    </row>
    <row r="112" spans="1:12" ht="62.45">
      <c r="A112" s="203"/>
      <c r="B112" s="206" t="s">
        <v>690</v>
      </c>
      <c r="C112" s="575"/>
      <c r="D112" s="207" t="s">
        <v>639</v>
      </c>
      <c r="E112" s="207" t="s">
        <v>640</v>
      </c>
      <c r="F112" s="207" t="s">
        <v>641</v>
      </c>
      <c r="G112" s="208" t="s">
        <v>642</v>
      </c>
      <c r="I112" s="252" t="s">
        <v>643</v>
      </c>
      <c r="J112" s="252" t="s">
        <v>644</v>
      </c>
      <c r="L112" s="252" t="s">
        <v>645</v>
      </c>
    </row>
    <row r="113" spans="1:12" ht="20.25" customHeight="1">
      <c r="A113" s="203">
        <v>113</v>
      </c>
      <c r="B113" s="18" t="s">
        <v>691</v>
      </c>
      <c r="D113" s="96">
        <v>84900</v>
      </c>
      <c r="E113" s="96">
        <v>70000</v>
      </c>
      <c r="F113" s="149">
        <f>'eoy24'!J499</f>
        <v>68800</v>
      </c>
      <c r="G113" s="209">
        <f t="shared" ref="G113:G135" si="5">IF(E113&gt;0,(F113-E113)/E113,IF(F113&gt;0,1,0))</f>
        <v>-1.7142857142857144E-2</v>
      </c>
      <c r="I113" s="226" t="str">
        <f t="shared" ref="I113:I135" si="6">IF(J113="OK","", IF(AND(ABS(G113)&gt;0.25,ABS(F113-E113)&gt;100000),"Please Review",""))</f>
        <v/>
      </c>
      <c r="J113" s="489"/>
      <c r="K113" s="491">
        <f t="shared" si="4"/>
        <v>0</v>
      </c>
      <c r="L113" s="489"/>
    </row>
    <row r="114" spans="1:12" ht="20.25" customHeight="1">
      <c r="A114" s="203">
        <v>114</v>
      </c>
      <c r="B114" s="18" t="s">
        <v>692</v>
      </c>
      <c r="D114" s="96">
        <v>550637</v>
      </c>
      <c r="E114" s="96">
        <v>604164</v>
      </c>
      <c r="F114" s="149">
        <f>'eoy24'!J502</f>
        <v>343301</v>
      </c>
      <c r="G114" s="209">
        <f t="shared" si="5"/>
        <v>-0.43177514714547705</v>
      </c>
      <c r="I114" s="226" t="str">
        <f t="shared" si="6"/>
        <v/>
      </c>
      <c r="J114" s="489" t="s">
        <v>647</v>
      </c>
      <c r="K114" s="491">
        <f t="shared" si="4"/>
        <v>0</v>
      </c>
      <c r="L114" s="489" t="s">
        <v>693</v>
      </c>
    </row>
    <row r="115" spans="1:12" ht="20.25" customHeight="1">
      <c r="A115" s="203">
        <v>115</v>
      </c>
      <c r="B115" s="18" t="s">
        <v>694</v>
      </c>
      <c r="D115" s="96">
        <v>0</v>
      </c>
      <c r="E115" s="96">
        <v>0</v>
      </c>
      <c r="F115" s="149">
        <f>'eoy24'!J508</f>
        <v>15748</v>
      </c>
      <c r="G115" s="209">
        <f t="shared" si="5"/>
        <v>1</v>
      </c>
      <c r="I115" s="226" t="str">
        <f t="shared" si="6"/>
        <v/>
      </c>
      <c r="J115" s="489"/>
      <c r="K115" s="491">
        <f t="shared" si="4"/>
        <v>0</v>
      </c>
      <c r="L115" s="489"/>
    </row>
    <row r="116" spans="1:12" ht="20.25" customHeight="1">
      <c r="A116" s="203">
        <v>116</v>
      </c>
      <c r="B116" s="18" t="s">
        <v>695</v>
      </c>
      <c r="D116" s="96">
        <v>237204</v>
      </c>
      <c r="E116" s="96">
        <v>245535.01</v>
      </c>
      <c r="F116" s="149">
        <f>'eoy24'!J509</f>
        <v>242505</v>
      </c>
      <c r="G116" s="209">
        <f t="shared" si="5"/>
        <v>-1.2340439760505067E-2</v>
      </c>
      <c r="I116" s="226" t="str">
        <f t="shared" si="6"/>
        <v/>
      </c>
      <c r="J116" s="489"/>
      <c r="K116" s="491">
        <f t="shared" si="4"/>
        <v>0</v>
      </c>
      <c r="L116" s="489"/>
    </row>
    <row r="117" spans="1:12" ht="20.25" customHeight="1">
      <c r="A117" s="203">
        <v>117</v>
      </c>
      <c r="B117" s="18" t="s">
        <v>696</v>
      </c>
      <c r="D117" s="96">
        <v>1098777</v>
      </c>
      <c r="E117" s="96">
        <v>1217758.17</v>
      </c>
      <c r="F117" s="149">
        <f>'eoy24'!J510</f>
        <v>1221146</v>
      </c>
      <c r="G117" s="209">
        <f t="shared" si="5"/>
        <v>2.7820219838887014E-3</v>
      </c>
      <c r="I117" s="226" t="str">
        <f t="shared" si="6"/>
        <v/>
      </c>
      <c r="J117" s="489"/>
      <c r="K117" s="491">
        <f t="shared" si="4"/>
        <v>0</v>
      </c>
      <c r="L117" s="489"/>
    </row>
    <row r="118" spans="1:12" ht="20.25" customHeight="1">
      <c r="A118" s="203">
        <v>118</v>
      </c>
      <c r="B118" s="18" t="s">
        <v>697</v>
      </c>
      <c r="D118" s="96">
        <v>177941</v>
      </c>
      <c r="E118" s="96">
        <v>153163</v>
      </c>
      <c r="F118" s="149">
        <v>164557</v>
      </c>
      <c r="G118" s="209">
        <f t="shared" si="5"/>
        <v>7.4391334721832292E-2</v>
      </c>
      <c r="I118" s="226" t="str">
        <f t="shared" si="6"/>
        <v/>
      </c>
      <c r="J118" s="489"/>
      <c r="K118" s="491">
        <f t="shared" si="4"/>
        <v>0</v>
      </c>
      <c r="L118" s="489"/>
    </row>
    <row r="119" spans="1:12" ht="20.25" customHeight="1">
      <c r="A119" s="203">
        <v>119</v>
      </c>
      <c r="B119" s="18" t="s">
        <v>698</v>
      </c>
      <c r="D119" s="96">
        <v>0</v>
      </c>
      <c r="E119" s="96">
        <v>0</v>
      </c>
      <c r="F119" s="149">
        <f>'eoy24'!J514</f>
        <v>0</v>
      </c>
      <c r="G119" s="209">
        <f t="shared" si="5"/>
        <v>0</v>
      </c>
      <c r="I119" s="226" t="str">
        <f t="shared" si="6"/>
        <v/>
      </c>
      <c r="J119" s="489"/>
      <c r="K119" s="491">
        <f t="shared" si="4"/>
        <v>0</v>
      </c>
      <c r="L119" s="489"/>
    </row>
    <row r="120" spans="1:12" ht="20.25" customHeight="1">
      <c r="A120" s="203">
        <v>120</v>
      </c>
      <c r="B120" s="18" t="s">
        <v>699</v>
      </c>
      <c r="D120" s="96">
        <v>0</v>
      </c>
      <c r="E120" s="96">
        <v>0</v>
      </c>
      <c r="F120" s="149">
        <f>'eoy24'!J515</f>
        <v>0</v>
      </c>
      <c r="G120" s="209">
        <f t="shared" si="5"/>
        <v>0</v>
      </c>
      <c r="I120" s="226" t="str">
        <f t="shared" si="6"/>
        <v/>
      </c>
      <c r="J120" s="489"/>
      <c r="K120" s="491">
        <f t="shared" si="4"/>
        <v>0</v>
      </c>
      <c r="L120" s="489"/>
    </row>
    <row r="121" spans="1:12" ht="20.25" customHeight="1">
      <c r="A121" s="203">
        <v>121</v>
      </c>
      <c r="B121" s="18" t="s">
        <v>700</v>
      </c>
      <c r="D121" s="96">
        <v>0</v>
      </c>
      <c r="E121" s="96">
        <v>0</v>
      </c>
      <c r="F121" s="149">
        <f>'eoy24'!J516</f>
        <v>0</v>
      </c>
      <c r="G121" s="209">
        <f t="shared" si="5"/>
        <v>0</v>
      </c>
      <c r="I121" s="226" t="str">
        <f t="shared" si="6"/>
        <v/>
      </c>
      <c r="J121" s="489"/>
      <c r="K121" s="491">
        <f t="shared" si="4"/>
        <v>0</v>
      </c>
      <c r="L121" s="489"/>
    </row>
    <row r="122" spans="1:12" ht="20.25" customHeight="1">
      <c r="A122" s="203">
        <v>122</v>
      </c>
      <c r="B122" s="18" t="s">
        <v>701</v>
      </c>
      <c r="D122" s="96">
        <v>0</v>
      </c>
      <c r="E122" s="96">
        <v>0</v>
      </c>
      <c r="F122" s="149">
        <f>'eoy24'!J520</f>
        <v>0</v>
      </c>
      <c r="G122" s="209">
        <f t="shared" si="5"/>
        <v>0</v>
      </c>
      <c r="I122" s="226" t="str">
        <f t="shared" si="6"/>
        <v/>
      </c>
      <c r="J122" s="489"/>
      <c r="K122" s="491">
        <f t="shared" si="4"/>
        <v>0</v>
      </c>
      <c r="L122" s="489"/>
    </row>
    <row r="123" spans="1:12" ht="20.25" customHeight="1">
      <c r="A123" s="203">
        <v>123</v>
      </c>
      <c r="B123" s="18" t="s">
        <v>702</v>
      </c>
      <c r="D123" s="96">
        <v>1598096</v>
      </c>
      <c r="E123" s="96">
        <v>1643568</v>
      </c>
      <c r="F123" s="149">
        <f>'eoy24'!J524</f>
        <v>972728</v>
      </c>
      <c r="G123" s="209">
        <f t="shared" si="5"/>
        <v>-0.40816078190862803</v>
      </c>
      <c r="I123" s="226" t="str">
        <f t="shared" si="6"/>
        <v/>
      </c>
      <c r="J123" s="489" t="s">
        <v>647</v>
      </c>
      <c r="K123" s="491">
        <f t="shared" si="4"/>
        <v>0</v>
      </c>
      <c r="L123" s="489" t="s">
        <v>693</v>
      </c>
    </row>
    <row r="124" spans="1:12" ht="20.25" customHeight="1">
      <c r="A124" s="203">
        <v>124</v>
      </c>
      <c r="B124" s="18" t="s">
        <v>703</v>
      </c>
      <c r="D124" s="96">
        <v>1069084</v>
      </c>
      <c r="E124" s="96">
        <v>1009067</v>
      </c>
      <c r="F124" s="149">
        <f>'eoy24'!J525</f>
        <v>946794</v>
      </c>
      <c r="G124" s="209">
        <f t="shared" si="5"/>
        <v>-6.1713444201425674E-2</v>
      </c>
      <c r="I124" s="226" t="str">
        <f t="shared" si="6"/>
        <v/>
      </c>
      <c r="J124" s="489"/>
      <c r="K124" s="491">
        <f t="shared" si="4"/>
        <v>0</v>
      </c>
      <c r="L124" s="489"/>
    </row>
    <row r="125" spans="1:12" ht="20.25" customHeight="1">
      <c r="A125" s="203">
        <v>125</v>
      </c>
      <c r="B125" s="18" t="s">
        <v>704</v>
      </c>
      <c r="D125" s="96">
        <v>0</v>
      </c>
      <c r="E125" s="96">
        <v>0</v>
      </c>
      <c r="F125" s="149">
        <f>'eoy24'!J526</f>
        <v>0</v>
      </c>
      <c r="G125" s="209">
        <f t="shared" si="5"/>
        <v>0</v>
      </c>
      <c r="I125" s="226" t="str">
        <f t="shared" si="6"/>
        <v/>
      </c>
      <c r="J125" s="489"/>
      <c r="K125" s="491">
        <f t="shared" si="4"/>
        <v>0</v>
      </c>
      <c r="L125" s="489"/>
    </row>
    <row r="126" spans="1:12" ht="20.25" customHeight="1">
      <c r="A126" s="203">
        <v>126</v>
      </c>
      <c r="B126" s="18" t="s">
        <v>705</v>
      </c>
      <c r="D126" s="96">
        <v>0</v>
      </c>
      <c r="E126" s="96">
        <v>0</v>
      </c>
      <c r="F126" s="149">
        <f>'eoy24'!J528</f>
        <v>0</v>
      </c>
      <c r="G126" s="209">
        <f t="shared" si="5"/>
        <v>0</v>
      </c>
      <c r="I126" s="226" t="str">
        <f t="shared" si="6"/>
        <v/>
      </c>
      <c r="J126" s="489"/>
      <c r="K126" s="491">
        <f t="shared" si="4"/>
        <v>0</v>
      </c>
      <c r="L126" s="489"/>
    </row>
    <row r="127" spans="1:12" ht="20.25" customHeight="1">
      <c r="A127" s="203">
        <v>127</v>
      </c>
      <c r="B127" s="18" t="s">
        <v>706</v>
      </c>
      <c r="D127" s="96">
        <v>504063</v>
      </c>
      <c r="E127" s="96">
        <v>424394.5729496</v>
      </c>
      <c r="F127" s="149">
        <f>'eoy24'!J529</f>
        <v>401723</v>
      </c>
      <c r="G127" s="209">
        <f t="shared" si="5"/>
        <v>-5.3420977539909341E-2</v>
      </c>
      <c r="I127" s="226" t="str">
        <f t="shared" si="6"/>
        <v/>
      </c>
      <c r="J127" s="489"/>
      <c r="K127" s="491">
        <f t="shared" si="4"/>
        <v>0</v>
      </c>
      <c r="L127" s="489"/>
    </row>
    <row r="128" spans="1:12" ht="20.25" customHeight="1">
      <c r="A128" s="203">
        <v>128</v>
      </c>
      <c r="B128" s="18" t="s">
        <v>707</v>
      </c>
      <c r="D128" s="96">
        <v>396097</v>
      </c>
      <c r="E128" s="96">
        <v>470573</v>
      </c>
      <c r="F128" s="149">
        <f>'eoy24'!J530</f>
        <v>436987</v>
      </c>
      <c r="G128" s="209">
        <f t="shared" si="5"/>
        <v>-7.1372560686652237E-2</v>
      </c>
      <c r="I128" s="226" t="str">
        <f t="shared" si="6"/>
        <v/>
      </c>
      <c r="J128" s="489"/>
      <c r="K128" s="491">
        <f t="shared" si="4"/>
        <v>0</v>
      </c>
      <c r="L128" s="489"/>
    </row>
    <row r="129" spans="1:12" ht="20.25" customHeight="1">
      <c r="A129" s="203">
        <v>129</v>
      </c>
      <c r="B129" s="18" t="s">
        <v>708</v>
      </c>
      <c r="D129" s="96">
        <v>0</v>
      </c>
      <c r="E129" s="96">
        <v>0</v>
      </c>
      <c r="F129" s="149">
        <f>'eoy24'!J531</f>
        <v>0</v>
      </c>
      <c r="G129" s="209">
        <f t="shared" si="5"/>
        <v>0</v>
      </c>
      <c r="I129" s="226" t="str">
        <f t="shared" si="6"/>
        <v/>
      </c>
      <c r="J129" s="489"/>
      <c r="K129" s="491">
        <f t="shared" si="4"/>
        <v>0</v>
      </c>
      <c r="L129" s="489"/>
    </row>
    <row r="130" spans="1:12" ht="20.25" customHeight="1">
      <c r="A130" s="203">
        <v>130</v>
      </c>
      <c r="B130" s="18" t="s">
        <v>709</v>
      </c>
      <c r="D130" s="479">
        <v>0</v>
      </c>
      <c r="E130" s="548">
        <v>0</v>
      </c>
      <c r="F130" s="149">
        <f>'eoy24'!J532</f>
        <v>0</v>
      </c>
      <c r="G130" s="209">
        <f t="shared" si="5"/>
        <v>0</v>
      </c>
      <c r="I130" s="226" t="str">
        <f t="shared" si="6"/>
        <v/>
      </c>
      <c r="J130" s="489"/>
      <c r="K130" s="491"/>
      <c r="L130" s="489"/>
    </row>
    <row r="131" spans="1:12" ht="20.25" customHeight="1">
      <c r="A131" s="203">
        <v>131</v>
      </c>
      <c r="B131" s="18" t="s">
        <v>710</v>
      </c>
      <c r="D131" s="96">
        <v>0</v>
      </c>
      <c r="E131" s="96">
        <v>0</v>
      </c>
      <c r="F131" s="149">
        <f>'eoy24'!J533</f>
        <v>0</v>
      </c>
      <c r="G131" s="209">
        <f t="shared" si="5"/>
        <v>0</v>
      </c>
      <c r="I131" s="226" t="str">
        <f t="shared" si="6"/>
        <v/>
      </c>
      <c r="J131" s="489"/>
      <c r="K131" s="491">
        <f t="shared" si="4"/>
        <v>0</v>
      </c>
      <c r="L131" s="489"/>
    </row>
    <row r="132" spans="1:12" ht="20.25" customHeight="1">
      <c r="A132" s="203">
        <v>132</v>
      </c>
      <c r="B132" s="18" t="s">
        <v>711</v>
      </c>
      <c r="D132" s="96">
        <v>0</v>
      </c>
      <c r="E132" s="96">
        <v>0</v>
      </c>
      <c r="F132" s="149">
        <f>'eoy24'!J534</f>
        <v>0</v>
      </c>
      <c r="G132" s="209">
        <f t="shared" si="5"/>
        <v>0</v>
      </c>
      <c r="I132" s="226" t="str">
        <f t="shared" si="6"/>
        <v/>
      </c>
      <c r="J132" s="489"/>
      <c r="K132" s="491">
        <f t="shared" si="4"/>
        <v>0</v>
      </c>
      <c r="L132" s="489"/>
    </row>
    <row r="133" spans="1:12" ht="20.25" customHeight="1">
      <c r="A133" s="203">
        <v>133</v>
      </c>
      <c r="B133" s="18" t="s">
        <v>712</v>
      </c>
      <c r="D133" s="96">
        <v>0</v>
      </c>
      <c r="E133" s="96">
        <v>0</v>
      </c>
      <c r="F133" s="149">
        <f>'eoy24'!J535</f>
        <v>0</v>
      </c>
      <c r="G133" s="209">
        <f t="shared" si="5"/>
        <v>0</v>
      </c>
      <c r="I133" s="226" t="str">
        <f t="shared" si="6"/>
        <v/>
      </c>
      <c r="J133" s="489"/>
      <c r="K133" s="491">
        <f t="shared" si="4"/>
        <v>0</v>
      </c>
      <c r="L133" s="489"/>
    </row>
    <row r="134" spans="1:12" ht="20.25" customHeight="1">
      <c r="A134" s="203">
        <v>134</v>
      </c>
      <c r="B134" s="18" t="s">
        <v>713</v>
      </c>
      <c r="D134" s="96">
        <v>876289</v>
      </c>
      <c r="E134" s="96">
        <v>1054376</v>
      </c>
      <c r="F134" s="149">
        <f>'eoy24'!J536</f>
        <v>1181390</v>
      </c>
      <c r="G134" s="209">
        <f t="shared" si="5"/>
        <v>0.12046366761003664</v>
      </c>
      <c r="I134" s="226" t="str">
        <f t="shared" si="6"/>
        <v/>
      </c>
      <c r="J134" s="489"/>
      <c r="K134" s="491">
        <f t="shared" si="4"/>
        <v>0</v>
      </c>
      <c r="L134" s="489"/>
    </row>
    <row r="135" spans="1:12" ht="20.25" customHeight="1">
      <c r="A135" s="203">
        <v>135</v>
      </c>
      <c r="B135" s="18" t="s">
        <v>714</v>
      </c>
      <c r="D135" s="96">
        <v>6874473</v>
      </c>
      <c r="E135" s="96">
        <v>7241896.4229496</v>
      </c>
      <c r="F135" s="149">
        <f ca="1">'eoy24'!J538</f>
        <v>6606876</v>
      </c>
      <c r="G135" s="209">
        <f t="shared" ca="1" si="5"/>
        <v>-8.7687034702293956E-2</v>
      </c>
      <c r="I135" s="226" t="str">
        <f t="shared" ca="1" si="6"/>
        <v/>
      </c>
      <c r="J135" s="489"/>
      <c r="K135" s="491">
        <f t="shared" ca="1" si="4"/>
        <v>0</v>
      </c>
      <c r="L135" s="489"/>
    </row>
    <row r="136" spans="1:12" ht="63" customHeight="1">
      <c r="A136" s="203"/>
      <c r="B136" s="206" t="s">
        <v>715</v>
      </c>
      <c r="C136" s="575"/>
      <c r="D136" s="207" t="s">
        <v>639</v>
      </c>
      <c r="E136" s="207" t="s">
        <v>640</v>
      </c>
      <c r="F136" s="207" t="s">
        <v>641</v>
      </c>
      <c r="G136" s="208" t="s">
        <v>642</v>
      </c>
    </row>
    <row r="137" spans="1:12" ht="20.25" customHeight="1">
      <c r="A137" s="203">
        <v>137</v>
      </c>
      <c r="B137" s="18" t="s">
        <v>716</v>
      </c>
      <c r="D137" s="96">
        <v>799224</v>
      </c>
      <c r="E137" s="96">
        <v>1673282</v>
      </c>
      <c r="F137" s="149">
        <f ca="1">'eoy24'!E$632+'eoy24'!F$632+'eoy24'!G$632</f>
        <v>928740</v>
      </c>
      <c r="G137" s="209">
        <f t="shared" ref="G137:G146" ca="1" si="7">IF(E137&gt;0,(F137-E137)/E137,IF(F137&gt;0,1,0))</f>
        <v>-0.44495906846544697</v>
      </c>
      <c r="I137" s="226" t="str">
        <f t="shared" ref="I137:I146" si="8">IF(J137="OK","", IF(AND(ABS(G137)&gt;0.25,ABS(F137-E137)&gt;100000),"Please Review",""))</f>
        <v/>
      </c>
      <c r="J137" s="489" t="s">
        <v>647</v>
      </c>
      <c r="K137" s="491">
        <f t="shared" ref="K137:K196" si="9">IF(I137="Please Review", 1, 0)</f>
        <v>0</v>
      </c>
      <c r="L137" s="489" t="s">
        <v>717</v>
      </c>
    </row>
    <row r="138" spans="1:12" ht="20.25" customHeight="1">
      <c r="A138" s="203">
        <v>138</v>
      </c>
      <c r="B138" s="18" t="s">
        <v>718</v>
      </c>
      <c r="D138" s="96">
        <v>0</v>
      </c>
      <c r="E138" s="96">
        <v>0</v>
      </c>
      <c r="F138" s="149">
        <f ca="1">'eoy24'!H$632</f>
        <v>1878905</v>
      </c>
      <c r="G138" s="209">
        <f t="shared" ca="1" si="7"/>
        <v>1</v>
      </c>
      <c r="I138" s="226" t="str">
        <f t="shared" si="8"/>
        <v/>
      </c>
      <c r="J138" s="489" t="s">
        <v>647</v>
      </c>
      <c r="K138" s="491">
        <f t="shared" si="9"/>
        <v>0</v>
      </c>
      <c r="L138" s="489" t="s">
        <v>719</v>
      </c>
    </row>
    <row r="139" spans="1:12" ht="20.25" customHeight="1">
      <c r="A139" s="203">
        <v>139</v>
      </c>
      <c r="B139" s="18" t="s">
        <v>720</v>
      </c>
      <c r="D139" s="96">
        <v>66796</v>
      </c>
      <c r="E139" s="96">
        <v>38796</v>
      </c>
      <c r="F139" s="149">
        <f ca="1">'eoy24'!I$632</f>
        <v>504147</v>
      </c>
      <c r="G139" s="209">
        <f t="shared" ca="1" si="7"/>
        <v>11.994819053510671</v>
      </c>
      <c r="I139" s="226" t="str">
        <f t="shared" si="8"/>
        <v/>
      </c>
      <c r="J139" s="489" t="s">
        <v>647</v>
      </c>
      <c r="K139" s="491">
        <f t="shared" si="9"/>
        <v>0</v>
      </c>
      <c r="L139" s="489" t="s">
        <v>721</v>
      </c>
    </row>
    <row r="140" spans="1:12" ht="20.25" customHeight="1">
      <c r="A140" s="203">
        <v>140</v>
      </c>
      <c r="B140" s="18" t="s">
        <v>722</v>
      </c>
      <c r="D140" s="96">
        <v>47500</v>
      </c>
      <c r="E140" s="96">
        <v>86402</v>
      </c>
      <c r="F140" s="149">
        <f ca="1">'eoy24'!J$632</f>
        <v>0</v>
      </c>
      <c r="G140" s="209">
        <f t="shared" ca="1" si="7"/>
        <v>-1</v>
      </c>
      <c r="I140" s="226" t="str">
        <f t="shared" ca="1" si="8"/>
        <v/>
      </c>
      <c r="J140" s="489"/>
      <c r="K140" s="491">
        <f t="shared" ca="1" si="9"/>
        <v>0</v>
      </c>
      <c r="L140" s="489"/>
    </row>
    <row r="141" spans="1:12" ht="20.25" customHeight="1">
      <c r="A141" s="203">
        <v>141</v>
      </c>
      <c r="B141" s="18" t="s">
        <v>723</v>
      </c>
      <c r="D141" s="96">
        <v>548062.68999999994</v>
      </c>
      <c r="E141" s="96">
        <v>494968</v>
      </c>
      <c r="F141" s="149">
        <f>'eoy24'!K$632</f>
        <v>401966</v>
      </c>
      <c r="G141" s="209">
        <f t="shared" si="7"/>
        <v>-0.18789497502868871</v>
      </c>
      <c r="I141" s="226" t="str">
        <f t="shared" si="8"/>
        <v/>
      </c>
      <c r="J141" s="489"/>
      <c r="K141" s="491">
        <f t="shared" si="9"/>
        <v>0</v>
      </c>
      <c r="L141" s="489"/>
    </row>
    <row r="142" spans="1:12" ht="20.25" customHeight="1">
      <c r="A142" s="203">
        <v>142</v>
      </c>
      <c r="B142" s="18" t="s">
        <v>724</v>
      </c>
      <c r="D142" s="96">
        <v>26513</v>
      </c>
      <c r="E142" s="96">
        <v>29167</v>
      </c>
      <c r="F142" s="149">
        <f ca="1">'eoy24'!L$632</f>
        <v>136553</v>
      </c>
      <c r="G142" s="209">
        <f t="shared" ca="1" si="7"/>
        <v>3.6817636369870059</v>
      </c>
      <c r="I142" s="226" t="str">
        <f t="shared" si="8"/>
        <v/>
      </c>
      <c r="J142" s="489" t="s">
        <v>647</v>
      </c>
      <c r="K142" s="491">
        <f t="shared" si="9"/>
        <v>0</v>
      </c>
      <c r="L142" s="489" t="s">
        <v>725</v>
      </c>
    </row>
    <row r="143" spans="1:12" ht="20.25" customHeight="1">
      <c r="A143" s="203">
        <v>143</v>
      </c>
      <c r="B143" s="18" t="s">
        <v>726</v>
      </c>
      <c r="D143" s="96">
        <v>247275</v>
      </c>
      <c r="E143" s="96">
        <v>311602</v>
      </c>
      <c r="F143" s="149">
        <f ca="1">'eoy24'!M$632</f>
        <v>94911</v>
      </c>
      <c r="G143" s="209">
        <f t="shared" ca="1" si="7"/>
        <v>-0.695409528822023</v>
      </c>
      <c r="I143" s="226" t="str">
        <f t="shared" si="8"/>
        <v/>
      </c>
      <c r="J143" s="489" t="s">
        <v>647</v>
      </c>
      <c r="K143" s="491">
        <f t="shared" si="9"/>
        <v>0</v>
      </c>
      <c r="L143" s="489" t="s">
        <v>727</v>
      </c>
    </row>
    <row r="144" spans="1:12" ht="20.25" customHeight="1">
      <c r="A144" s="203">
        <v>144</v>
      </c>
      <c r="B144" s="18" t="s">
        <v>728</v>
      </c>
      <c r="D144" s="96">
        <v>69599</v>
      </c>
      <c r="E144" s="96">
        <v>315864</v>
      </c>
      <c r="F144" s="149">
        <f>'eoy24'!N$632</f>
        <v>0</v>
      </c>
      <c r="G144" s="209">
        <f t="shared" si="7"/>
        <v>-1</v>
      </c>
      <c r="I144" s="226" t="str">
        <f t="shared" si="8"/>
        <v/>
      </c>
      <c r="J144" s="489" t="s">
        <v>647</v>
      </c>
      <c r="K144" s="491">
        <f t="shared" si="9"/>
        <v>0</v>
      </c>
      <c r="L144" s="489"/>
    </row>
    <row r="145" spans="1:12" ht="20.25" customHeight="1">
      <c r="A145" s="203">
        <v>145</v>
      </c>
      <c r="B145" s="18" t="s">
        <v>729</v>
      </c>
      <c r="D145" s="96">
        <v>626611</v>
      </c>
      <c r="E145" s="96">
        <v>733056</v>
      </c>
      <c r="F145" s="149">
        <f>'eoy24'!O$632</f>
        <v>0</v>
      </c>
      <c r="G145" s="209">
        <f t="shared" si="7"/>
        <v>-1</v>
      </c>
      <c r="I145" s="226" t="str">
        <f t="shared" si="8"/>
        <v/>
      </c>
      <c r="J145" s="489" t="s">
        <v>647</v>
      </c>
      <c r="K145" s="491">
        <f t="shared" si="9"/>
        <v>0</v>
      </c>
      <c r="L145" s="489"/>
    </row>
    <row r="146" spans="1:12" ht="20.25" customHeight="1">
      <c r="A146" s="203">
        <v>146</v>
      </c>
      <c r="B146" s="18" t="s">
        <v>730</v>
      </c>
      <c r="D146" s="96">
        <v>2189</v>
      </c>
      <c r="E146" s="96">
        <v>333902</v>
      </c>
      <c r="F146" s="149">
        <f ca="1">'eoy24'!P$632</f>
        <v>0</v>
      </c>
      <c r="G146" s="209">
        <f t="shared" ca="1" si="7"/>
        <v>-1</v>
      </c>
      <c r="I146" s="226" t="str">
        <f t="shared" si="8"/>
        <v/>
      </c>
      <c r="J146" s="489" t="s">
        <v>647</v>
      </c>
      <c r="K146" s="491">
        <f t="shared" si="9"/>
        <v>0</v>
      </c>
      <c r="L146" s="489"/>
    </row>
    <row r="147" spans="1:12" ht="63" customHeight="1">
      <c r="A147" s="203"/>
      <c r="B147" s="206" t="s">
        <v>731</v>
      </c>
      <c r="C147" s="575"/>
      <c r="D147" s="207" t="s">
        <v>639</v>
      </c>
      <c r="E147" s="207" t="s">
        <v>640</v>
      </c>
      <c r="F147" s="207" t="s">
        <v>641</v>
      </c>
      <c r="G147" s="208" t="s">
        <v>642</v>
      </c>
    </row>
    <row r="148" spans="1:12" ht="20.25" customHeight="1">
      <c r="A148" s="203">
        <v>148</v>
      </c>
      <c r="B148" s="18" t="s">
        <v>732</v>
      </c>
      <c r="D148" s="96">
        <v>0</v>
      </c>
      <c r="E148" s="96">
        <v>0</v>
      </c>
      <c r="F148" s="149">
        <f>'eoy24'!J667</f>
        <v>0</v>
      </c>
      <c r="G148" s="209">
        <f>IF(E148&gt;0,(F148-E148)/E148,IF(F148&gt;0,1,0))</f>
        <v>0</v>
      </c>
      <c r="I148" s="226" t="str">
        <f>IF(J148="OK","", IF(AND(ABS(G148)&gt;0.25,ABS(F148-E148)&gt;100000),"Please Review",""))</f>
        <v/>
      </c>
      <c r="J148" s="489"/>
      <c r="K148" s="491">
        <f t="shared" si="9"/>
        <v>0</v>
      </c>
      <c r="L148" s="489"/>
    </row>
    <row r="149" spans="1:12" ht="20.25" customHeight="1">
      <c r="A149" s="203"/>
      <c r="G149" s="210"/>
    </row>
    <row r="150" spans="1:12" ht="20.25" customHeight="1">
      <c r="A150" s="203"/>
      <c r="B150" s="177" t="s">
        <v>689</v>
      </c>
      <c r="G150" s="210"/>
    </row>
    <row r="151" spans="1:12" ht="20.25" customHeight="1">
      <c r="A151" s="203"/>
      <c r="B151" s="177"/>
      <c r="G151" s="210"/>
    </row>
    <row r="152" spans="1:12" ht="62.45">
      <c r="A152" s="203"/>
      <c r="B152" s="206" t="s">
        <v>733</v>
      </c>
      <c r="D152" s="207" t="s">
        <v>639</v>
      </c>
      <c r="E152" s="207" t="s">
        <v>640</v>
      </c>
      <c r="F152" s="207" t="s">
        <v>641</v>
      </c>
      <c r="G152" s="208" t="s">
        <v>642</v>
      </c>
      <c r="I152" s="252" t="s">
        <v>643</v>
      </c>
      <c r="J152" s="252" t="s">
        <v>644</v>
      </c>
      <c r="L152" s="252" t="s">
        <v>645</v>
      </c>
    </row>
    <row r="153" spans="1:12" ht="20.25" customHeight="1">
      <c r="A153" s="203">
        <v>153</v>
      </c>
      <c r="B153" s="18" t="s">
        <v>734</v>
      </c>
      <c r="D153" s="96">
        <v>438471</v>
      </c>
      <c r="E153" s="96">
        <v>481236.84</v>
      </c>
      <c r="F153" s="149">
        <f ca="1">'eoy24'!J682</f>
        <v>408633</v>
      </c>
      <c r="G153" s="209">
        <f t="shared" ref="G153:G181" ca="1" si="10">IF(E153&gt;0,(F153-E153)/E153,IF(F153&gt;0,1,0))</f>
        <v>-0.15086924766607648</v>
      </c>
      <c r="I153" s="226" t="str">
        <f t="shared" ref="I153:I158" ca="1" si="11">IF(J153="OK","", IF(AND(ABS(G153)&gt;0.25,ABS(F153-E153)&gt;100000),"Please Review",""))</f>
        <v/>
      </c>
      <c r="J153" s="489"/>
      <c r="K153" s="491">
        <f t="shared" ca="1" si="9"/>
        <v>0</v>
      </c>
      <c r="L153" s="489"/>
    </row>
    <row r="154" spans="1:12" ht="20.25" customHeight="1">
      <c r="A154" s="203">
        <v>154</v>
      </c>
      <c r="B154" s="18" t="s">
        <v>735</v>
      </c>
      <c r="D154" s="96">
        <v>0</v>
      </c>
      <c r="E154" s="96">
        <v>0</v>
      </c>
      <c r="F154" s="149">
        <f ca="1">'eoy24'!J690</f>
        <v>0</v>
      </c>
      <c r="G154" s="209">
        <f t="shared" ca="1" si="10"/>
        <v>0</v>
      </c>
      <c r="I154" s="226" t="str">
        <f t="shared" ca="1" si="11"/>
        <v/>
      </c>
      <c r="J154" s="489"/>
      <c r="K154" s="491">
        <f t="shared" ca="1" si="9"/>
        <v>0</v>
      </c>
      <c r="L154" s="489"/>
    </row>
    <row r="155" spans="1:12" ht="20.25" customHeight="1">
      <c r="A155" s="203">
        <v>155</v>
      </c>
      <c r="B155" s="18" t="s">
        <v>736</v>
      </c>
      <c r="C155" s="575"/>
      <c r="D155" s="94">
        <v>0</v>
      </c>
      <c r="E155" s="96">
        <v>0</v>
      </c>
      <c r="F155" s="149">
        <f ca="1">'eoy24'!J698</f>
        <v>0</v>
      </c>
      <c r="G155" s="209">
        <f t="shared" ca="1" si="10"/>
        <v>0</v>
      </c>
      <c r="I155" s="226" t="str">
        <f t="shared" ca="1" si="11"/>
        <v/>
      </c>
      <c r="J155" s="489"/>
      <c r="K155" s="491">
        <f ca="1">IF(I155="Please Review", 1, 0)</f>
        <v>0</v>
      </c>
      <c r="L155" s="489"/>
    </row>
    <row r="156" spans="1:12" ht="20.25" customHeight="1">
      <c r="A156" s="203">
        <v>156</v>
      </c>
      <c r="B156" s="18" t="s">
        <v>737</v>
      </c>
      <c r="D156" s="96">
        <v>1088930</v>
      </c>
      <c r="E156" s="96">
        <v>1138808</v>
      </c>
      <c r="F156" s="149">
        <f ca="1">'eoy24'!J706</f>
        <v>0</v>
      </c>
      <c r="G156" s="209">
        <f t="shared" ca="1" si="10"/>
        <v>-1</v>
      </c>
      <c r="I156" s="226" t="str">
        <f t="shared" si="11"/>
        <v/>
      </c>
      <c r="J156" s="489" t="s">
        <v>647</v>
      </c>
      <c r="K156" s="491">
        <f t="shared" si="9"/>
        <v>0</v>
      </c>
      <c r="L156" s="489" t="s">
        <v>738</v>
      </c>
    </row>
    <row r="157" spans="1:12" ht="20.25" customHeight="1">
      <c r="A157" s="203">
        <v>157</v>
      </c>
      <c r="B157" s="18" t="s">
        <v>739</v>
      </c>
      <c r="D157" s="96">
        <v>0</v>
      </c>
      <c r="E157" s="96">
        <v>0</v>
      </c>
      <c r="F157" s="149">
        <f ca="1">'eoy24'!J711</f>
        <v>0</v>
      </c>
      <c r="G157" s="209">
        <f t="shared" ca="1" si="10"/>
        <v>0</v>
      </c>
      <c r="I157" s="226" t="str">
        <f t="shared" ca="1" si="11"/>
        <v/>
      </c>
      <c r="J157" s="489"/>
      <c r="K157" s="491">
        <f t="shared" ca="1" si="9"/>
        <v>0</v>
      </c>
      <c r="L157" s="489"/>
    </row>
    <row r="158" spans="1:12" ht="20.25" customHeight="1">
      <c r="A158" s="203">
        <v>158</v>
      </c>
      <c r="B158" s="18" t="s">
        <v>740</v>
      </c>
      <c r="D158" s="96">
        <v>9367710</v>
      </c>
      <c r="E158" s="96">
        <v>9683380</v>
      </c>
      <c r="F158" s="149">
        <f ca="1">'eoy24'!J713</f>
        <v>9861030</v>
      </c>
      <c r="G158" s="209">
        <f t="shared" ca="1" si="10"/>
        <v>1.8345866835753632E-2</v>
      </c>
      <c r="I158" s="226" t="str">
        <f t="shared" ca="1" si="11"/>
        <v/>
      </c>
      <c r="J158" s="489"/>
      <c r="K158" s="491">
        <f t="shared" ca="1" si="9"/>
        <v>0</v>
      </c>
      <c r="L158" s="489"/>
    </row>
    <row r="159" spans="1:12" ht="20.25" customHeight="1">
      <c r="A159" s="203">
        <v>159</v>
      </c>
      <c r="B159" s="18" t="s">
        <v>741</v>
      </c>
      <c r="D159" s="96">
        <v>508912</v>
      </c>
      <c r="E159" s="96">
        <v>509029</v>
      </c>
      <c r="F159" s="149">
        <f ca="1">'eoy24'!J721</f>
        <v>623928</v>
      </c>
      <c r="G159" s="209">
        <f t="shared" ca="1" si="10"/>
        <v>0.22572191368271749</v>
      </c>
      <c r="I159" s="226" t="str">
        <f t="shared" ref="I159:I166" ca="1" si="12">IF(J159="OK","", IF(AND(ABS(G159)&gt;0.25,ABS(F159-E159)&gt;100000),"Please Review",""))</f>
        <v/>
      </c>
      <c r="J159" s="489"/>
      <c r="K159" s="491">
        <f t="shared" ca="1" si="9"/>
        <v>0</v>
      </c>
      <c r="L159" s="489"/>
    </row>
    <row r="160" spans="1:12" ht="20.25" customHeight="1">
      <c r="A160" s="203">
        <v>160</v>
      </c>
      <c r="B160" s="4" t="s">
        <v>742</v>
      </c>
      <c r="D160" s="96">
        <v>34235</v>
      </c>
      <c r="E160" s="96">
        <v>36820</v>
      </c>
      <c r="F160" s="149">
        <f ca="1">'eoy24'!J726</f>
        <v>36820</v>
      </c>
      <c r="G160" s="209">
        <f ca="1">IF(E160&gt;0,(F160-E160)/E160,IF(F160&gt;0,1,0))</f>
        <v>0</v>
      </c>
      <c r="I160" s="226" t="str">
        <f t="shared" ca="1" si="12"/>
        <v/>
      </c>
      <c r="J160" s="489"/>
      <c r="K160" s="491">
        <f t="shared" ca="1" si="9"/>
        <v>0</v>
      </c>
      <c r="L160" s="489"/>
    </row>
    <row r="161" spans="1:12" ht="20.25" customHeight="1">
      <c r="A161" s="203">
        <v>161</v>
      </c>
      <c r="B161" s="4" t="s">
        <v>743</v>
      </c>
      <c r="D161" s="96">
        <v>128656</v>
      </c>
      <c r="E161" s="96">
        <v>132254</v>
      </c>
      <c r="F161" s="149">
        <f ca="1">'eoy24'!J730</f>
        <v>312174</v>
      </c>
      <c r="G161" s="209">
        <f t="shared" ca="1" si="10"/>
        <v>1.3604125395073117</v>
      </c>
      <c r="I161" s="226" t="str">
        <f t="shared" si="12"/>
        <v/>
      </c>
      <c r="J161" s="489" t="s">
        <v>647</v>
      </c>
      <c r="K161" s="491">
        <f t="shared" si="9"/>
        <v>0</v>
      </c>
      <c r="L161" s="489" t="s">
        <v>738</v>
      </c>
    </row>
    <row r="162" spans="1:12" ht="20.25" customHeight="1">
      <c r="A162" s="203">
        <v>162</v>
      </c>
      <c r="B162" s="18" t="s">
        <v>744</v>
      </c>
      <c r="D162" s="96">
        <v>1205367</v>
      </c>
      <c r="E162" s="96">
        <v>1164893</v>
      </c>
      <c r="F162" s="149">
        <f ca="1">'eoy24'!J734</f>
        <v>1157114</v>
      </c>
      <c r="G162" s="209">
        <f t="shared" ca="1" si="10"/>
        <v>-6.6778665508334242E-3</v>
      </c>
      <c r="I162" s="226" t="str">
        <f t="shared" ca="1" si="12"/>
        <v/>
      </c>
      <c r="J162" s="489"/>
      <c r="K162" s="491">
        <f t="shared" ca="1" si="9"/>
        <v>0</v>
      </c>
      <c r="L162" s="489"/>
    </row>
    <row r="163" spans="1:12" ht="20.25" customHeight="1">
      <c r="A163" s="203">
        <v>163</v>
      </c>
      <c r="B163" s="18" t="s">
        <v>745</v>
      </c>
      <c r="D163" s="96">
        <v>214667</v>
      </c>
      <c r="E163" s="96">
        <v>182117</v>
      </c>
      <c r="F163" s="149">
        <f ca="1">'eoy24'!J739</f>
        <v>0</v>
      </c>
      <c r="G163" s="209">
        <f t="shared" ca="1" si="10"/>
        <v>-1</v>
      </c>
      <c r="I163" s="226" t="str">
        <f t="shared" si="12"/>
        <v/>
      </c>
      <c r="J163" s="489" t="s">
        <v>647</v>
      </c>
      <c r="K163" s="491">
        <f t="shared" si="9"/>
        <v>0</v>
      </c>
      <c r="L163" s="489" t="s">
        <v>746</v>
      </c>
    </row>
    <row r="164" spans="1:12" ht="20.25" customHeight="1">
      <c r="A164" s="203">
        <v>164</v>
      </c>
      <c r="B164" s="18" t="s">
        <v>747</v>
      </c>
      <c r="C164" s="575"/>
      <c r="D164" s="94">
        <v>0</v>
      </c>
      <c r="E164" s="96">
        <v>0</v>
      </c>
      <c r="F164" s="149">
        <f ca="1">'eoy24'!J744</f>
        <v>0</v>
      </c>
      <c r="G164" s="209">
        <f t="shared" ca="1" si="10"/>
        <v>0</v>
      </c>
      <c r="I164" s="226" t="str">
        <f t="shared" ca="1" si="12"/>
        <v/>
      </c>
      <c r="J164" s="489"/>
      <c r="K164" s="491">
        <f ca="1">IF(I164="Please Review", 1, 0)</f>
        <v>0</v>
      </c>
      <c r="L164" s="489"/>
    </row>
    <row r="165" spans="1:12" ht="20.25" customHeight="1">
      <c r="A165" s="203">
        <v>165</v>
      </c>
      <c r="B165" s="18" t="s">
        <v>748</v>
      </c>
      <c r="D165" s="96">
        <v>0</v>
      </c>
      <c r="E165" s="96">
        <v>15160</v>
      </c>
      <c r="F165" s="149">
        <f ca="1">'eoy24'!J752</f>
        <v>0</v>
      </c>
      <c r="G165" s="209">
        <f t="shared" ca="1" si="10"/>
        <v>-1</v>
      </c>
      <c r="I165" s="226" t="str">
        <f t="shared" ca="1" si="12"/>
        <v/>
      </c>
      <c r="J165" s="489"/>
      <c r="K165" s="491">
        <f t="shared" ca="1" si="9"/>
        <v>0</v>
      </c>
      <c r="L165" s="489"/>
    </row>
    <row r="166" spans="1:12" ht="20.25" customHeight="1">
      <c r="A166" s="203">
        <v>166</v>
      </c>
      <c r="B166" s="4" t="s">
        <v>749</v>
      </c>
      <c r="D166" s="96">
        <v>0</v>
      </c>
      <c r="E166" s="96">
        <v>0</v>
      </c>
      <c r="F166" s="18">
        <f ca="1">'eoy24'!J758</f>
        <v>0</v>
      </c>
      <c r="G166" s="209">
        <f t="shared" ca="1" si="10"/>
        <v>0</v>
      </c>
      <c r="I166" s="226" t="str">
        <f t="shared" ca="1" si="12"/>
        <v/>
      </c>
      <c r="J166" s="489"/>
      <c r="K166" s="491">
        <f t="shared" ca="1" si="9"/>
        <v>0</v>
      </c>
      <c r="L166" s="489"/>
    </row>
    <row r="167" spans="1:12" ht="20.25" customHeight="1">
      <c r="A167" s="203">
        <v>167</v>
      </c>
      <c r="B167" s="4" t="s">
        <v>750</v>
      </c>
      <c r="D167" s="96">
        <v>1000</v>
      </c>
      <c r="E167" s="96">
        <v>0</v>
      </c>
      <c r="F167" s="6">
        <f ca="1">'eoy24'!J760</f>
        <v>0</v>
      </c>
      <c r="G167" s="209">
        <f t="shared" ca="1" si="10"/>
        <v>0</v>
      </c>
      <c r="I167" s="226" t="str">
        <f ca="1">IF(J167="OK","", IF(AND(ABS(G167)&gt;0.25,ABS(F167-E167)&gt;100000),"Please Review",""))</f>
        <v/>
      </c>
      <c r="J167" s="489"/>
      <c r="K167" s="491">
        <f t="shared" ca="1" si="9"/>
        <v>0</v>
      </c>
      <c r="L167" s="489"/>
    </row>
    <row r="168" spans="1:12" ht="20.25" customHeight="1">
      <c r="A168" s="203">
        <v>168</v>
      </c>
      <c r="B168" s="4" t="s">
        <v>751</v>
      </c>
      <c r="D168" s="96">
        <v>48029.62</v>
      </c>
      <c r="E168" s="96">
        <v>0</v>
      </c>
      <c r="F168" s="6">
        <f ca="1">'eoy24'!J766</f>
        <v>0</v>
      </c>
      <c r="G168" s="209">
        <f t="shared" ca="1" si="10"/>
        <v>0</v>
      </c>
      <c r="I168" s="226" t="str">
        <f ca="1">IF(J168="OK","", IF(AND(ABS(G168)&gt;0.25,ABS(F168-E168)&gt;100000),"Please Review",""))</f>
        <v/>
      </c>
      <c r="J168" s="489"/>
      <c r="K168" s="491">
        <f t="shared" ca="1" si="9"/>
        <v>0</v>
      </c>
      <c r="L168" s="489"/>
    </row>
    <row r="169" spans="1:12" ht="20.25" customHeight="1">
      <c r="A169" s="203">
        <v>169</v>
      </c>
      <c r="B169" s="4" t="s">
        <v>752</v>
      </c>
      <c r="D169" s="96">
        <v>0</v>
      </c>
      <c r="E169" s="96">
        <v>0</v>
      </c>
      <c r="F169" s="59">
        <f ca="1">'eoy24'!J771</f>
        <v>26495</v>
      </c>
      <c r="G169" s="209">
        <f t="shared" ca="1" si="10"/>
        <v>1</v>
      </c>
      <c r="I169" s="226" t="str">
        <f t="shared" ref="I169:I181" ca="1" si="13">IF(J169="OK","", IF(AND(ABS(G169)&gt;0.25,ABS(F169-E169)&gt;100000),"Please Review",""))</f>
        <v/>
      </c>
      <c r="J169" s="489"/>
      <c r="K169" s="491">
        <f t="shared" ca="1" si="9"/>
        <v>0</v>
      </c>
      <c r="L169" s="489"/>
    </row>
    <row r="170" spans="1:12" ht="20.25" customHeight="1">
      <c r="A170" s="203">
        <v>170</v>
      </c>
      <c r="B170" s="18" t="s">
        <v>753</v>
      </c>
      <c r="D170" s="96">
        <v>30413</v>
      </c>
      <c r="E170" s="96">
        <v>0</v>
      </c>
      <c r="F170" s="149">
        <f ca="1">'eoy24'!J773</f>
        <v>4281</v>
      </c>
      <c r="G170" s="209">
        <f t="shared" ca="1" si="10"/>
        <v>1</v>
      </c>
      <c r="I170" s="226" t="str">
        <f t="shared" ca="1" si="13"/>
        <v/>
      </c>
      <c r="J170" s="489"/>
      <c r="K170" s="491">
        <f t="shared" ca="1" si="9"/>
        <v>0</v>
      </c>
      <c r="L170" s="489"/>
    </row>
    <row r="171" spans="1:12" ht="20.25" customHeight="1">
      <c r="A171" s="203">
        <v>171</v>
      </c>
      <c r="B171" s="18" t="s">
        <v>754</v>
      </c>
      <c r="D171" s="96">
        <v>74353</v>
      </c>
      <c r="E171" s="96">
        <v>67841</v>
      </c>
      <c r="F171" s="149">
        <f ca="1">'eoy24'!J778</f>
        <v>81277</v>
      </c>
      <c r="G171" s="209">
        <f t="shared" ca="1" si="10"/>
        <v>0.19805132589437066</v>
      </c>
      <c r="I171" s="226" t="str">
        <f t="shared" ca="1" si="13"/>
        <v/>
      </c>
      <c r="J171" s="489"/>
      <c r="K171" s="491">
        <f t="shared" ca="1" si="9"/>
        <v>0</v>
      </c>
      <c r="L171" s="489"/>
    </row>
    <row r="172" spans="1:12" ht="20.25" customHeight="1">
      <c r="A172" s="203">
        <v>172</v>
      </c>
      <c r="B172" s="18" t="s">
        <v>755</v>
      </c>
      <c r="D172" s="96">
        <v>61521</v>
      </c>
      <c r="E172" s="96">
        <v>41758</v>
      </c>
      <c r="F172" s="149">
        <f ca="1">'eoy24'!J783</f>
        <v>54470</v>
      </c>
      <c r="G172" s="209">
        <f t="shared" ca="1" si="10"/>
        <v>0.3044207098041094</v>
      </c>
      <c r="I172" s="226" t="str">
        <f t="shared" ca="1" si="13"/>
        <v/>
      </c>
      <c r="J172" s="489"/>
      <c r="K172" s="491">
        <f t="shared" ca="1" si="9"/>
        <v>0</v>
      </c>
      <c r="L172" s="489"/>
    </row>
    <row r="173" spans="1:12" ht="20.25" customHeight="1">
      <c r="A173" s="203">
        <v>173</v>
      </c>
      <c r="B173" s="18" t="s">
        <v>756</v>
      </c>
      <c r="D173" s="96">
        <v>47339</v>
      </c>
      <c r="E173" s="96">
        <v>52228</v>
      </c>
      <c r="F173" s="149">
        <f ca="1">'eoy24'!J785</f>
        <v>60898</v>
      </c>
      <c r="G173" s="209">
        <f t="shared" ca="1" si="10"/>
        <v>0.16600291031630543</v>
      </c>
      <c r="I173" s="226" t="str">
        <f t="shared" ca="1" si="13"/>
        <v/>
      </c>
      <c r="J173" s="489"/>
      <c r="K173" s="491">
        <f t="shared" ca="1" si="9"/>
        <v>0</v>
      </c>
      <c r="L173" s="489"/>
    </row>
    <row r="174" spans="1:12" ht="20.25" customHeight="1">
      <c r="A174" s="203">
        <v>174</v>
      </c>
      <c r="B174" s="18" t="s">
        <v>757</v>
      </c>
      <c r="D174" s="96">
        <v>2620</v>
      </c>
      <c r="E174" s="96">
        <v>15840.27</v>
      </c>
      <c r="F174" s="149">
        <f ca="1">'eoy24'!J791</f>
        <v>20845</v>
      </c>
      <c r="G174" s="209">
        <f t="shared" ca="1" si="10"/>
        <v>0.31594979125987116</v>
      </c>
      <c r="I174" s="226" t="str">
        <f t="shared" ca="1" si="13"/>
        <v/>
      </c>
      <c r="J174" s="489"/>
      <c r="K174" s="491">
        <f t="shared" ca="1" si="9"/>
        <v>0</v>
      </c>
      <c r="L174" s="489"/>
    </row>
    <row r="175" spans="1:12" ht="20.25" customHeight="1">
      <c r="A175" s="203">
        <v>175</v>
      </c>
      <c r="B175" s="18" t="s">
        <v>758</v>
      </c>
      <c r="D175" s="96">
        <v>43101</v>
      </c>
      <c r="E175" s="96">
        <v>39756</v>
      </c>
      <c r="F175" s="149">
        <f ca="1">'eoy24'!J796</f>
        <v>60721</v>
      </c>
      <c r="G175" s="209">
        <f t="shared" ca="1" si="10"/>
        <v>0.52734178488781569</v>
      </c>
      <c r="I175" s="226" t="str">
        <f t="shared" ca="1" si="13"/>
        <v/>
      </c>
      <c r="J175" s="489"/>
      <c r="K175" s="491">
        <f t="shared" ca="1" si="9"/>
        <v>0</v>
      </c>
      <c r="L175" s="489"/>
    </row>
    <row r="176" spans="1:12" ht="20.25" customHeight="1">
      <c r="A176" s="203">
        <v>176</v>
      </c>
      <c r="B176" s="18" t="s">
        <v>759</v>
      </c>
      <c r="D176" s="96">
        <v>0</v>
      </c>
      <c r="E176" s="96">
        <v>0</v>
      </c>
      <c r="F176" s="149">
        <f ca="1">'eoy24'!J801</f>
        <v>0</v>
      </c>
      <c r="G176" s="209">
        <f t="shared" ca="1" si="10"/>
        <v>0</v>
      </c>
      <c r="I176" s="226" t="str">
        <f t="shared" ca="1" si="13"/>
        <v/>
      </c>
      <c r="J176" s="489"/>
      <c r="K176" s="491">
        <f t="shared" ca="1" si="9"/>
        <v>0</v>
      </c>
      <c r="L176" s="489"/>
    </row>
    <row r="177" spans="1:12" ht="20.25" customHeight="1">
      <c r="A177" s="203">
        <v>177</v>
      </c>
      <c r="B177" s="18" t="s">
        <v>760</v>
      </c>
      <c r="D177" s="96">
        <v>32873</v>
      </c>
      <c r="E177" s="96">
        <v>2866</v>
      </c>
      <c r="F177" s="149">
        <f ca="1">'eoy24'!J806</f>
        <v>2866</v>
      </c>
      <c r="G177" s="209">
        <f t="shared" ca="1" si="10"/>
        <v>0</v>
      </c>
      <c r="I177" s="226" t="str">
        <f t="shared" ca="1" si="13"/>
        <v/>
      </c>
      <c r="J177" s="489"/>
      <c r="K177" s="491">
        <f t="shared" ca="1" si="9"/>
        <v>0</v>
      </c>
      <c r="L177" s="489"/>
    </row>
    <row r="178" spans="1:12" ht="20.25" customHeight="1">
      <c r="A178" s="203">
        <v>178</v>
      </c>
      <c r="B178" s="18" t="s">
        <v>761</v>
      </c>
      <c r="D178" s="96">
        <v>579836</v>
      </c>
      <c r="E178" s="96">
        <v>572692</v>
      </c>
      <c r="F178" s="149">
        <f ca="1">'eoy24'!J814</f>
        <v>598390</v>
      </c>
      <c r="G178" s="209">
        <f t="shared" ca="1" si="10"/>
        <v>4.4872287372619141E-2</v>
      </c>
      <c r="I178" s="226" t="str">
        <f t="shared" ca="1" si="13"/>
        <v/>
      </c>
      <c r="J178" s="489"/>
      <c r="K178" s="491">
        <f t="shared" ca="1" si="9"/>
        <v>0</v>
      </c>
      <c r="L178" s="489"/>
    </row>
    <row r="179" spans="1:12" ht="20.25" customHeight="1">
      <c r="A179" s="203">
        <v>179</v>
      </c>
      <c r="B179" s="18" t="s">
        <v>762</v>
      </c>
      <c r="D179" s="96">
        <v>0</v>
      </c>
      <c r="E179" s="96">
        <v>0</v>
      </c>
      <c r="F179" s="149">
        <f ca="1">'eoy24'!J822</f>
        <v>0</v>
      </c>
      <c r="G179" s="209">
        <f t="shared" ca="1" si="10"/>
        <v>0</v>
      </c>
      <c r="I179" s="226" t="str">
        <f t="shared" ca="1" si="13"/>
        <v/>
      </c>
      <c r="J179" s="489"/>
      <c r="K179" s="491">
        <f t="shared" ca="1" si="9"/>
        <v>0</v>
      </c>
      <c r="L179" s="489"/>
    </row>
    <row r="180" spans="1:12" ht="20.25" customHeight="1">
      <c r="A180" s="203">
        <v>180</v>
      </c>
      <c r="B180" s="18" t="s">
        <v>763</v>
      </c>
      <c r="D180" s="96">
        <v>161098</v>
      </c>
      <c r="E180" s="96">
        <v>215582</v>
      </c>
      <c r="F180" s="59">
        <f ca="1">'eoy24'!J830</f>
        <v>355323</v>
      </c>
      <c r="G180" s="214">
        <f t="shared" ca="1" si="10"/>
        <v>0.6482034678219889</v>
      </c>
      <c r="I180" s="226" t="str">
        <f t="shared" si="13"/>
        <v/>
      </c>
      <c r="J180" s="489" t="s">
        <v>647</v>
      </c>
      <c r="K180" s="491">
        <f t="shared" si="9"/>
        <v>0</v>
      </c>
      <c r="L180" s="489" t="s">
        <v>764</v>
      </c>
    </row>
    <row r="181" spans="1:12" ht="20.25" customHeight="1">
      <c r="A181" s="203">
        <v>181</v>
      </c>
      <c r="B181" s="18" t="s">
        <v>765</v>
      </c>
      <c r="D181" s="96">
        <v>15208939.560000001</v>
      </c>
      <c r="E181" s="96">
        <v>16217249.859999999</v>
      </c>
      <c r="F181" s="59">
        <f ca="1">'eoy24'!J831</f>
        <v>13665265</v>
      </c>
      <c r="G181" s="214">
        <f t="shared" ca="1" si="10"/>
        <v>-0.15736236920752478</v>
      </c>
      <c r="I181" s="226" t="str">
        <f t="shared" ca="1" si="13"/>
        <v/>
      </c>
      <c r="J181" s="489"/>
      <c r="K181" s="491">
        <f t="shared" ca="1" si="9"/>
        <v>0</v>
      </c>
      <c r="L181" s="489"/>
    </row>
    <row r="182" spans="1:12" ht="63" customHeight="1">
      <c r="A182" s="203"/>
      <c r="B182" s="206" t="s">
        <v>766</v>
      </c>
      <c r="C182" s="575"/>
      <c r="D182" s="207" t="s">
        <v>639</v>
      </c>
      <c r="E182" s="207" t="s">
        <v>640</v>
      </c>
      <c r="F182" s="207" t="s">
        <v>641</v>
      </c>
      <c r="G182" s="208" t="s">
        <v>642</v>
      </c>
    </row>
    <row r="183" spans="1:12" ht="20.25" customHeight="1">
      <c r="A183" s="203">
        <v>183</v>
      </c>
      <c r="B183" s="18" t="s">
        <v>767</v>
      </c>
      <c r="C183" s="575"/>
      <c r="D183" s="96">
        <v>0</v>
      </c>
      <c r="E183" s="96">
        <v>0</v>
      </c>
      <c r="F183" s="149">
        <f>'eoy24'!I1059</f>
        <v>0</v>
      </c>
      <c r="G183" s="209">
        <f>IF(E183&gt;0,(F183-E183)/E183,IF(F183&gt;0,1,0))</f>
        <v>0</v>
      </c>
      <c r="I183" s="226" t="str">
        <f>IF(J183="OK","", IF(AND(ABS(G183)&gt;0.25,ABS(F183-E183)&gt;100000),"Please Review",""))</f>
        <v/>
      </c>
      <c r="J183" s="489"/>
      <c r="K183" s="491">
        <f t="shared" si="9"/>
        <v>0</v>
      </c>
      <c r="L183" s="489"/>
    </row>
    <row r="184" spans="1:12" ht="20.25" customHeight="1">
      <c r="A184" s="203">
        <v>184</v>
      </c>
      <c r="B184" s="18" t="s">
        <v>768</v>
      </c>
      <c r="D184" s="96">
        <v>968815</v>
      </c>
      <c r="E184" s="96">
        <v>1158119</v>
      </c>
      <c r="F184" s="149">
        <f>'eoy24'!I1085</f>
        <v>1284608</v>
      </c>
      <c r="G184" s="209">
        <f>IF(E184&gt;0,(F184-E184)/E184,IF(F184&gt;0,1,0))</f>
        <v>0.10921934619844766</v>
      </c>
      <c r="I184" s="226" t="str">
        <f>IF(J184="OK","", IF(AND(ABS(G184)&gt;0.25,ABS(F184-E184)&gt;100000),"Please Review",""))</f>
        <v/>
      </c>
      <c r="J184" s="489"/>
      <c r="K184" s="491">
        <f t="shared" si="9"/>
        <v>0</v>
      </c>
      <c r="L184" s="489"/>
    </row>
    <row r="185" spans="1:12" ht="20.25" customHeight="1">
      <c r="A185" s="203">
        <v>185</v>
      </c>
      <c r="B185" s="18" t="s">
        <v>769</v>
      </c>
      <c r="D185" s="96">
        <v>0</v>
      </c>
      <c r="E185" s="96">
        <v>0</v>
      </c>
      <c r="F185" s="149">
        <f>'eoy24'!I1087</f>
        <v>0</v>
      </c>
      <c r="G185" s="209">
        <f>IF(E185&gt;0,(F185-E185)/E185,IF(F185&gt;0,1,0))</f>
        <v>0</v>
      </c>
      <c r="I185" s="226"/>
      <c r="J185" s="489"/>
      <c r="K185" s="491"/>
      <c r="L185" s="489"/>
    </row>
    <row r="186" spans="1:12" ht="20.25" customHeight="1">
      <c r="A186" s="203">
        <v>186</v>
      </c>
      <c r="B186" s="18" t="s">
        <v>770</v>
      </c>
      <c r="D186" s="96">
        <v>0</v>
      </c>
      <c r="E186" s="96">
        <v>0</v>
      </c>
      <c r="F186" s="149">
        <f>'eoy24'!I1088</f>
        <v>0</v>
      </c>
      <c r="G186" s="209">
        <f>IF(E186&gt;0,(F186-E186)/E186,IF(F186&gt;0,1,0))</f>
        <v>0</v>
      </c>
      <c r="I186" s="226"/>
      <c r="J186" s="489"/>
      <c r="K186" s="491"/>
      <c r="L186" s="489"/>
    </row>
    <row r="187" spans="1:12" ht="20.25" customHeight="1">
      <c r="A187" s="203">
        <v>187</v>
      </c>
      <c r="B187" s="18" t="s">
        <v>771</v>
      </c>
      <c r="D187" s="96">
        <v>1101</v>
      </c>
      <c r="E187" s="96">
        <v>1193</v>
      </c>
      <c r="F187" s="149">
        <f>'eoy24'!M1085</f>
        <v>988</v>
      </c>
      <c r="G187" s="209">
        <f>IF(E187&gt;0,(F187-E187)/E187,IF(F187&gt;0,1,0))</f>
        <v>-0.17183570829840739</v>
      </c>
      <c r="I187" s="226" t="str">
        <f>IF(J187="OK","", IF(AND(ABS(G187)&gt;0.25,ABS(F187-E187)&gt;100000),"Please Review",""))</f>
        <v/>
      </c>
      <c r="J187" s="489"/>
      <c r="K187" s="491">
        <f t="shared" si="9"/>
        <v>0</v>
      </c>
      <c r="L187" s="489"/>
    </row>
    <row r="188" spans="1:12" ht="20.25" customHeight="1">
      <c r="A188" s="203"/>
      <c r="D188" s="211"/>
      <c r="E188" s="211"/>
      <c r="F188" s="211"/>
    </row>
    <row r="189" spans="1:12" ht="20.25" customHeight="1">
      <c r="A189" s="203"/>
      <c r="B189" s="177" t="s">
        <v>689</v>
      </c>
    </row>
    <row r="190" spans="1:12" ht="20.25" customHeight="1">
      <c r="A190" s="203"/>
      <c r="B190" s="177"/>
    </row>
    <row r="191" spans="1:12" ht="20.25" customHeight="1">
      <c r="A191" s="203"/>
      <c r="B191" s="177" t="s">
        <v>772</v>
      </c>
      <c r="C191" s="574"/>
    </row>
    <row r="192" spans="1:12" ht="62.45">
      <c r="A192" s="203"/>
      <c r="B192" s="206" t="s">
        <v>773</v>
      </c>
      <c r="C192" s="575"/>
      <c r="D192" s="208" t="s">
        <v>774</v>
      </c>
      <c r="E192" s="208" t="s">
        <v>775</v>
      </c>
      <c r="F192" s="208" t="s">
        <v>776</v>
      </c>
      <c r="G192" s="208" t="s">
        <v>777</v>
      </c>
      <c r="I192" s="252" t="s">
        <v>643</v>
      </c>
      <c r="J192" s="252" t="s">
        <v>644</v>
      </c>
      <c r="L192" s="252" t="s">
        <v>645</v>
      </c>
    </row>
    <row r="193" spans="1:12" ht="20.25" customHeight="1">
      <c r="A193" s="203">
        <v>193</v>
      </c>
      <c r="B193" s="18" t="s">
        <v>778</v>
      </c>
      <c r="D193" s="96">
        <v>915032</v>
      </c>
      <c r="E193" s="96">
        <v>2944565</v>
      </c>
      <c r="F193" s="149">
        <f>'eoy24'!J1099</f>
        <v>937441</v>
      </c>
      <c r="G193" s="209">
        <f t="shared" ref="G193:G219" si="14">IF(E193&gt;0,(F193-E193)/E193,IF(F193&gt;0,1,0))</f>
        <v>-0.68163684618950504</v>
      </c>
      <c r="I193" s="226" t="str">
        <f t="shared" ref="I193:I219" si="15">IF(J193="OK","", IF(AND(ABS(G193)&gt;0.25,ABS(F193-E193)&gt;100000),"Please Review",""))</f>
        <v/>
      </c>
      <c r="J193" s="489" t="s">
        <v>647</v>
      </c>
      <c r="K193" s="491">
        <f t="shared" si="9"/>
        <v>0</v>
      </c>
      <c r="L193" s="489" t="s">
        <v>779</v>
      </c>
    </row>
    <row r="194" spans="1:12" ht="20.25" customHeight="1">
      <c r="A194" s="203">
        <v>194</v>
      </c>
      <c r="B194" s="18" t="s">
        <v>780</v>
      </c>
      <c r="D194" s="96">
        <v>14472789</v>
      </c>
      <c r="E194" s="96">
        <v>13009833</v>
      </c>
      <c r="F194" s="149">
        <f>'eoy24'!J1100</f>
        <v>15429212</v>
      </c>
      <c r="G194" s="209">
        <f t="shared" si="14"/>
        <v>0.185965415543766</v>
      </c>
      <c r="I194" s="226" t="str">
        <f t="shared" si="15"/>
        <v/>
      </c>
      <c r="J194" s="489"/>
      <c r="K194" s="491">
        <f t="shared" si="9"/>
        <v>0</v>
      </c>
      <c r="L194" s="489"/>
    </row>
    <row r="195" spans="1:12" ht="20.25" customHeight="1">
      <c r="A195" s="203">
        <v>195</v>
      </c>
      <c r="B195" s="18" t="s">
        <v>781</v>
      </c>
      <c r="D195" s="96">
        <v>1137335</v>
      </c>
      <c r="E195" s="96">
        <v>1174747</v>
      </c>
      <c r="F195" s="149">
        <f>'eoy24'!J1102</f>
        <v>1352528</v>
      </c>
      <c r="G195" s="209">
        <f t="shared" si="14"/>
        <v>0.15133556416828475</v>
      </c>
      <c r="I195" s="226" t="str">
        <f t="shared" si="15"/>
        <v/>
      </c>
      <c r="J195" s="489"/>
      <c r="K195" s="491">
        <f t="shared" si="9"/>
        <v>0</v>
      </c>
      <c r="L195" s="489"/>
    </row>
    <row r="196" spans="1:12" ht="20.25" customHeight="1">
      <c r="A196" s="203">
        <v>196</v>
      </c>
      <c r="B196" s="18" t="s">
        <v>782</v>
      </c>
      <c r="D196" s="96">
        <v>1615690</v>
      </c>
      <c r="E196" s="96">
        <v>1619250</v>
      </c>
      <c r="F196" s="149">
        <f>'eoy24'!J1106</f>
        <v>1840494</v>
      </c>
      <c r="G196" s="209">
        <f t="shared" si="14"/>
        <v>0.13663362667901807</v>
      </c>
      <c r="I196" s="226" t="str">
        <f t="shared" si="15"/>
        <v/>
      </c>
      <c r="J196" s="489"/>
      <c r="K196" s="491">
        <f t="shared" si="9"/>
        <v>0</v>
      </c>
      <c r="L196" s="489"/>
    </row>
    <row r="197" spans="1:12" ht="20.25" customHeight="1">
      <c r="A197" s="203">
        <v>197</v>
      </c>
      <c r="B197" s="18" t="s">
        <v>783</v>
      </c>
      <c r="D197" s="96">
        <v>20500</v>
      </c>
      <c r="E197" s="96">
        <v>0</v>
      </c>
      <c r="F197" s="149">
        <f>'eoy24'!J1107</f>
        <v>24042</v>
      </c>
      <c r="G197" s="209">
        <f t="shared" si="14"/>
        <v>1</v>
      </c>
      <c r="I197" s="226" t="str">
        <f t="shared" si="15"/>
        <v/>
      </c>
      <c r="J197" s="489"/>
      <c r="K197" s="491">
        <f t="shared" ref="K197:K260" si="16">IF(I197="Please Review", 1, 0)</f>
        <v>0</v>
      </c>
      <c r="L197" s="489"/>
    </row>
    <row r="198" spans="1:12" ht="20.25" customHeight="1">
      <c r="A198" s="203">
        <v>198</v>
      </c>
      <c r="B198" s="18" t="s">
        <v>784</v>
      </c>
      <c r="D198" s="96">
        <v>0</v>
      </c>
      <c r="E198" s="96">
        <v>0</v>
      </c>
      <c r="F198" s="149">
        <f>'eoy24'!J1108</f>
        <v>0</v>
      </c>
      <c r="G198" s="209">
        <f t="shared" si="14"/>
        <v>0</v>
      </c>
      <c r="I198" s="226" t="str">
        <f t="shared" si="15"/>
        <v/>
      </c>
      <c r="J198" s="489"/>
      <c r="K198" s="491">
        <f t="shared" si="16"/>
        <v>0</v>
      </c>
      <c r="L198" s="489"/>
    </row>
    <row r="199" spans="1:12" ht="20.25" customHeight="1">
      <c r="A199" s="203">
        <v>199</v>
      </c>
      <c r="B199" s="18" t="s">
        <v>785</v>
      </c>
      <c r="D199" s="96">
        <v>0</v>
      </c>
      <c r="E199" s="96">
        <v>18000</v>
      </c>
      <c r="F199" s="149">
        <f>'eoy24'!J1109</f>
        <v>0</v>
      </c>
      <c r="G199" s="209">
        <f t="shared" si="14"/>
        <v>-1</v>
      </c>
      <c r="I199" s="226" t="str">
        <f t="shared" si="15"/>
        <v/>
      </c>
      <c r="J199" s="489"/>
      <c r="K199" s="491">
        <f t="shared" si="16"/>
        <v>0</v>
      </c>
      <c r="L199" s="489"/>
    </row>
    <row r="200" spans="1:12" ht="20.25" customHeight="1">
      <c r="A200" s="203">
        <v>200</v>
      </c>
      <c r="B200" s="18" t="s">
        <v>786</v>
      </c>
      <c r="D200" s="96">
        <v>2845917</v>
      </c>
      <c r="E200" s="96">
        <v>3081304</v>
      </c>
      <c r="F200" s="149">
        <f>'eoy24'!J1110</f>
        <v>3110838</v>
      </c>
      <c r="G200" s="209">
        <f t="shared" si="14"/>
        <v>9.5849030150871196E-3</v>
      </c>
      <c r="I200" s="226" t="str">
        <f t="shared" si="15"/>
        <v/>
      </c>
      <c r="J200" s="489"/>
      <c r="K200" s="491">
        <f t="shared" si="16"/>
        <v>0</v>
      </c>
      <c r="L200" s="489"/>
    </row>
    <row r="201" spans="1:12" ht="20.25" customHeight="1">
      <c r="A201" s="203">
        <v>201</v>
      </c>
      <c r="B201" s="18" t="s">
        <v>787</v>
      </c>
      <c r="D201" s="96">
        <v>0</v>
      </c>
      <c r="E201" s="96">
        <v>0</v>
      </c>
      <c r="F201" s="149">
        <f>'eoy24'!J1111</f>
        <v>0</v>
      </c>
      <c r="G201" s="209">
        <f t="shared" si="14"/>
        <v>0</v>
      </c>
      <c r="I201" s="226" t="str">
        <f t="shared" si="15"/>
        <v/>
      </c>
      <c r="J201" s="489"/>
      <c r="K201" s="491">
        <f t="shared" si="16"/>
        <v>0</v>
      </c>
      <c r="L201" s="489"/>
    </row>
    <row r="202" spans="1:12" ht="20.25" customHeight="1">
      <c r="A202" s="203">
        <v>202</v>
      </c>
      <c r="B202" s="18" t="s">
        <v>788</v>
      </c>
      <c r="D202" s="96">
        <v>0</v>
      </c>
      <c r="E202" s="96">
        <v>0</v>
      </c>
      <c r="F202" s="149">
        <f>'eoy24'!J1112</f>
        <v>0</v>
      </c>
      <c r="G202" s="209">
        <f t="shared" si="14"/>
        <v>0</v>
      </c>
      <c r="I202" s="226" t="str">
        <f t="shared" si="15"/>
        <v/>
      </c>
      <c r="J202" s="489"/>
      <c r="K202" s="491">
        <f t="shared" si="16"/>
        <v>0</v>
      </c>
      <c r="L202" s="489"/>
    </row>
    <row r="203" spans="1:12" ht="20.25" customHeight="1">
      <c r="A203" s="203">
        <v>203</v>
      </c>
      <c r="B203" s="18" t="s">
        <v>789</v>
      </c>
      <c r="D203" s="96">
        <v>0</v>
      </c>
      <c r="E203" s="96">
        <v>0</v>
      </c>
      <c r="F203" s="149">
        <f>'eoy24'!J1113</f>
        <v>0</v>
      </c>
      <c r="G203" s="209">
        <f t="shared" si="14"/>
        <v>0</v>
      </c>
      <c r="I203" s="226" t="str">
        <f t="shared" si="15"/>
        <v/>
      </c>
      <c r="J203" s="489"/>
      <c r="K203" s="491">
        <f t="shared" si="16"/>
        <v>0</v>
      </c>
      <c r="L203" s="489"/>
    </row>
    <row r="204" spans="1:12" ht="20.25" customHeight="1">
      <c r="A204" s="203">
        <v>204</v>
      </c>
      <c r="B204" s="18" t="s">
        <v>790</v>
      </c>
      <c r="D204" s="96">
        <v>0</v>
      </c>
      <c r="E204" s="96">
        <v>0</v>
      </c>
      <c r="F204" s="149">
        <f>'eoy24'!J1114</f>
        <v>0</v>
      </c>
      <c r="G204" s="209">
        <f t="shared" si="14"/>
        <v>0</v>
      </c>
      <c r="I204" s="226" t="str">
        <f t="shared" si="15"/>
        <v/>
      </c>
      <c r="J204" s="489"/>
      <c r="K204" s="491">
        <f t="shared" si="16"/>
        <v>0</v>
      </c>
      <c r="L204" s="489"/>
    </row>
    <row r="205" spans="1:12" ht="20.25" customHeight="1">
      <c r="A205" s="203">
        <v>205</v>
      </c>
      <c r="B205" s="18" t="s">
        <v>791</v>
      </c>
      <c r="D205" s="96">
        <v>0</v>
      </c>
      <c r="E205" s="96">
        <v>0</v>
      </c>
      <c r="F205" s="149">
        <f>'eoy24'!J1115</f>
        <v>0</v>
      </c>
      <c r="G205" s="209">
        <f t="shared" si="14"/>
        <v>0</v>
      </c>
      <c r="I205" s="226" t="str">
        <f t="shared" si="15"/>
        <v/>
      </c>
      <c r="J205" s="489"/>
      <c r="K205" s="491">
        <f t="shared" si="16"/>
        <v>0</v>
      </c>
      <c r="L205" s="489"/>
    </row>
    <row r="206" spans="1:12" ht="20.25" customHeight="1">
      <c r="A206" s="203">
        <v>206</v>
      </c>
      <c r="B206" s="18" t="s">
        <v>792</v>
      </c>
      <c r="D206" s="96">
        <v>0</v>
      </c>
      <c r="E206" s="96">
        <v>0</v>
      </c>
      <c r="F206" s="149">
        <f>'eoy24'!J1116</f>
        <v>0</v>
      </c>
      <c r="G206" s="209">
        <f t="shared" si="14"/>
        <v>0</v>
      </c>
      <c r="I206" s="226" t="str">
        <f t="shared" si="15"/>
        <v/>
      </c>
      <c r="J206" s="489"/>
      <c r="K206" s="491">
        <f t="shared" si="16"/>
        <v>0</v>
      </c>
      <c r="L206" s="489"/>
    </row>
    <row r="207" spans="1:12" ht="20.25" customHeight="1">
      <c r="A207" s="203">
        <v>207</v>
      </c>
      <c r="B207" s="18" t="s">
        <v>793</v>
      </c>
      <c r="D207" s="96">
        <v>0</v>
      </c>
      <c r="E207" s="96">
        <v>0</v>
      </c>
      <c r="F207" s="149">
        <f>'eoy24'!J1120</f>
        <v>446825</v>
      </c>
      <c r="G207" s="209">
        <f t="shared" si="14"/>
        <v>1</v>
      </c>
      <c r="I207" s="226" t="str">
        <f t="shared" si="15"/>
        <v/>
      </c>
      <c r="J207" s="489" t="s">
        <v>647</v>
      </c>
      <c r="K207" s="491">
        <f t="shared" si="16"/>
        <v>0</v>
      </c>
      <c r="L207" s="489"/>
    </row>
    <row r="208" spans="1:12" ht="20.25" customHeight="1">
      <c r="A208" s="203">
        <v>208</v>
      </c>
      <c r="B208" s="18" t="s">
        <v>794</v>
      </c>
      <c r="D208" s="96">
        <v>0</v>
      </c>
      <c r="E208" s="96">
        <v>0</v>
      </c>
      <c r="F208" s="149">
        <f>'eoy24'!J1121</f>
        <v>0</v>
      </c>
      <c r="G208" s="209">
        <f t="shared" si="14"/>
        <v>0</v>
      </c>
      <c r="I208" s="226" t="str">
        <f t="shared" si="15"/>
        <v/>
      </c>
      <c r="J208" s="489"/>
      <c r="K208" s="491">
        <f t="shared" si="16"/>
        <v>0</v>
      </c>
      <c r="L208" s="489"/>
    </row>
    <row r="209" spans="1:12" ht="20.25" customHeight="1">
      <c r="A209" s="203">
        <v>209</v>
      </c>
      <c r="B209" s="18" t="s">
        <v>795</v>
      </c>
      <c r="D209" s="96">
        <v>0</v>
      </c>
      <c r="E209" s="96">
        <v>0</v>
      </c>
      <c r="F209" s="149">
        <f>'eoy24'!J1122</f>
        <v>0</v>
      </c>
      <c r="G209" s="209">
        <f t="shared" si="14"/>
        <v>0</v>
      </c>
      <c r="I209" s="226" t="str">
        <f t="shared" si="15"/>
        <v/>
      </c>
      <c r="J209" s="489"/>
      <c r="K209" s="491">
        <f t="shared" si="16"/>
        <v>0</v>
      </c>
      <c r="L209" s="489"/>
    </row>
    <row r="210" spans="1:12" ht="20.25" customHeight="1">
      <c r="A210" s="203">
        <v>210</v>
      </c>
      <c r="B210" s="18" t="s">
        <v>796</v>
      </c>
      <c r="D210" s="96">
        <v>0</v>
      </c>
      <c r="E210" s="96">
        <v>0</v>
      </c>
      <c r="F210" s="149">
        <f>'eoy24'!J1123</f>
        <v>0</v>
      </c>
      <c r="G210" s="209">
        <f t="shared" si="14"/>
        <v>0</v>
      </c>
      <c r="I210" s="226" t="str">
        <f t="shared" si="15"/>
        <v/>
      </c>
      <c r="J210" s="489"/>
      <c r="K210" s="491">
        <f t="shared" si="16"/>
        <v>0</v>
      </c>
      <c r="L210" s="489"/>
    </row>
    <row r="211" spans="1:12" ht="20.25" customHeight="1">
      <c r="A211" s="203">
        <v>211</v>
      </c>
      <c r="B211" s="4" t="s">
        <v>797</v>
      </c>
      <c r="D211" s="96">
        <v>0</v>
      </c>
      <c r="E211" s="96">
        <v>0</v>
      </c>
      <c r="F211" s="149">
        <f>'eoy24'!J1124</f>
        <v>0</v>
      </c>
      <c r="G211" s="209">
        <f t="shared" si="14"/>
        <v>0</v>
      </c>
      <c r="I211" s="226" t="str">
        <f t="shared" si="15"/>
        <v/>
      </c>
      <c r="J211" s="489"/>
      <c r="K211" s="491">
        <f t="shared" si="16"/>
        <v>0</v>
      </c>
      <c r="L211" s="489"/>
    </row>
    <row r="212" spans="1:12" ht="20.25" customHeight="1">
      <c r="A212" s="203">
        <v>212</v>
      </c>
      <c r="B212" s="4" t="s">
        <v>798</v>
      </c>
      <c r="D212" s="96">
        <v>0</v>
      </c>
      <c r="E212" s="96">
        <v>0</v>
      </c>
      <c r="F212" s="149">
        <f>'eoy24'!J1125</f>
        <v>0</v>
      </c>
      <c r="G212" s="209">
        <f t="shared" si="14"/>
        <v>0</v>
      </c>
      <c r="I212" s="226" t="str">
        <f t="shared" si="15"/>
        <v/>
      </c>
      <c r="J212" s="489"/>
      <c r="K212" s="491">
        <f t="shared" si="16"/>
        <v>0</v>
      </c>
      <c r="L212" s="489"/>
    </row>
    <row r="213" spans="1:12" ht="20.25" customHeight="1">
      <c r="A213" s="203">
        <v>213</v>
      </c>
      <c r="B213" s="4" t="s">
        <v>799</v>
      </c>
      <c r="D213" s="96">
        <v>0</v>
      </c>
      <c r="E213" s="96">
        <v>0</v>
      </c>
      <c r="F213" s="149">
        <f>'eoy24'!J1126</f>
        <v>0</v>
      </c>
      <c r="G213" s="209">
        <f t="shared" si="14"/>
        <v>0</v>
      </c>
      <c r="I213" s="226" t="str">
        <f t="shared" si="15"/>
        <v/>
      </c>
      <c r="J213" s="489"/>
      <c r="K213" s="491">
        <f t="shared" si="16"/>
        <v>0</v>
      </c>
      <c r="L213" s="489"/>
    </row>
    <row r="214" spans="1:12" ht="20.25" customHeight="1">
      <c r="A214" s="203">
        <v>214</v>
      </c>
      <c r="B214" s="4" t="s">
        <v>800</v>
      </c>
      <c r="D214" s="96">
        <v>0</v>
      </c>
      <c r="E214" s="96">
        <v>0</v>
      </c>
      <c r="F214" s="149">
        <f>'eoy24'!J1127</f>
        <v>0</v>
      </c>
      <c r="G214" s="209">
        <f t="shared" si="14"/>
        <v>0</v>
      </c>
      <c r="I214" s="226" t="str">
        <f t="shared" si="15"/>
        <v/>
      </c>
      <c r="J214" s="489"/>
      <c r="K214" s="491">
        <f t="shared" si="16"/>
        <v>0</v>
      </c>
      <c r="L214" s="489"/>
    </row>
    <row r="215" spans="1:12" ht="20.25" customHeight="1">
      <c r="A215" s="203">
        <v>215</v>
      </c>
      <c r="B215" s="4" t="s">
        <v>801</v>
      </c>
      <c r="D215" s="96">
        <v>0</v>
      </c>
      <c r="E215" s="96">
        <v>0</v>
      </c>
      <c r="F215" s="149">
        <f>'eoy24'!J1128</f>
        <v>0</v>
      </c>
      <c r="G215" s="209">
        <f t="shared" si="14"/>
        <v>0</v>
      </c>
      <c r="I215" s="226" t="str">
        <f t="shared" si="15"/>
        <v/>
      </c>
      <c r="J215" s="489"/>
      <c r="K215" s="491">
        <f t="shared" si="16"/>
        <v>0</v>
      </c>
      <c r="L215" s="489"/>
    </row>
    <row r="216" spans="1:12" ht="20.25" customHeight="1">
      <c r="A216" s="203">
        <v>216</v>
      </c>
      <c r="B216" s="4" t="s">
        <v>802</v>
      </c>
      <c r="D216" s="96">
        <v>0</v>
      </c>
      <c r="E216" s="96">
        <v>0</v>
      </c>
      <c r="F216" s="149">
        <f>'eoy24'!J1129</f>
        <v>0</v>
      </c>
      <c r="G216" s="209">
        <f t="shared" si="14"/>
        <v>0</v>
      </c>
      <c r="I216" s="226" t="str">
        <f t="shared" si="15"/>
        <v/>
      </c>
      <c r="J216" s="489"/>
      <c r="K216" s="491">
        <f t="shared" si="16"/>
        <v>0</v>
      </c>
      <c r="L216" s="489"/>
    </row>
    <row r="217" spans="1:12" ht="20.25" customHeight="1">
      <c r="A217" s="203">
        <v>217</v>
      </c>
      <c r="B217" s="18" t="s">
        <v>803</v>
      </c>
      <c r="C217" s="575"/>
      <c r="D217" s="479">
        <v>303364</v>
      </c>
      <c r="E217" s="96">
        <v>310260</v>
      </c>
      <c r="F217" s="149">
        <f>'eoy24'!J1130</f>
        <v>703872</v>
      </c>
      <c r="G217" s="209">
        <f t="shared" si="14"/>
        <v>1.2686520982401857</v>
      </c>
      <c r="I217" s="226" t="str">
        <f t="shared" si="15"/>
        <v/>
      </c>
      <c r="J217" s="489" t="s">
        <v>647</v>
      </c>
      <c r="K217" s="491">
        <f t="shared" si="16"/>
        <v>0</v>
      </c>
      <c r="L217" s="489"/>
    </row>
    <row r="218" spans="1:12" ht="20.25" customHeight="1">
      <c r="A218" s="203">
        <v>218</v>
      </c>
      <c r="B218" s="18" t="s">
        <v>804</v>
      </c>
      <c r="D218" s="96">
        <v>186554</v>
      </c>
      <c r="E218" s="96">
        <v>190979</v>
      </c>
      <c r="F218" s="149">
        <f>'eoy24'!J1131</f>
        <v>460952</v>
      </c>
      <c r="G218" s="209">
        <f t="shared" si="14"/>
        <v>1.4136266291058179</v>
      </c>
      <c r="I218" s="226" t="str">
        <f t="shared" si="15"/>
        <v/>
      </c>
      <c r="J218" s="489" t="s">
        <v>647</v>
      </c>
      <c r="K218" s="491">
        <f t="shared" si="16"/>
        <v>0</v>
      </c>
      <c r="L218" s="489"/>
    </row>
    <row r="219" spans="1:12" ht="20.25" customHeight="1">
      <c r="A219" s="203">
        <v>219</v>
      </c>
      <c r="B219" s="18" t="s">
        <v>805</v>
      </c>
      <c r="D219" s="96">
        <v>22342995</v>
      </c>
      <c r="E219" s="96">
        <v>22883442</v>
      </c>
      <c r="F219" s="149">
        <f>'eoy24'!J1132</f>
        <v>24851494</v>
      </c>
      <c r="G219" s="209">
        <f t="shared" si="14"/>
        <v>8.600332065429668E-2</v>
      </c>
      <c r="I219" s="226" t="str">
        <f t="shared" si="15"/>
        <v/>
      </c>
      <c r="J219" s="489"/>
      <c r="K219" s="491">
        <f t="shared" si="16"/>
        <v>0</v>
      </c>
      <c r="L219" s="489"/>
    </row>
    <row r="220" spans="1:12" ht="20.25" customHeight="1">
      <c r="A220" s="203"/>
      <c r="G220" s="210"/>
    </row>
    <row r="221" spans="1:12" ht="20.25" customHeight="1">
      <c r="A221" s="203"/>
      <c r="B221" s="177" t="s">
        <v>689</v>
      </c>
    </row>
    <row r="222" spans="1:12" ht="20.25" customHeight="1">
      <c r="A222" s="203"/>
      <c r="B222" s="177"/>
    </row>
    <row r="223" spans="1:12" ht="20.25" customHeight="1">
      <c r="A223" s="203"/>
      <c r="B223" s="177" t="s">
        <v>772</v>
      </c>
      <c r="C223" s="574"/>
    </row>
    <row r="224" spans="1:12" ht="62.45">
      <c r="A224" s="203"/>
      <c r="B224" s="206" t="s">
        <v>806</v>
      </c>
      <c r="C224" s="575"/>
      <c r="D224" s="208" t="s">
        <v>774</v>
      </c>
      <c r="E224" s="208" t="s">
        <v>775</v>
      </c>
      <c r="F224" s="208" t="s">
        <v>776</v>
      </c>
      <c r="G224" s="208" t="s">
        <v>777</v>
      </c>
      <c r="I224" s="252" t="s">
        <v>643</v>
      </c>
      <c r="J224" s="252" t="s">
        <v>644</v>
      </c>
      <c r="L224" s="252" t="s">
        <v>645</v>
      </c>
    </row>
    <row r="225" spans="1:12" ht="20.25" customHeight="1">
      <c r="A225" s="203">
        <v>225</v>
      </c>
      <c r="B225" s="18" t="s">
        <v>807</v>
      </c>
      <c r="D225" s="96">
        <v>236079</v>
      </c>
      <c r="E225" s="96">
        <v>225987</v>
      </c>
      <c r="F225" s="149">
        <f>'eoy24'!J1144</f>
        <v>0</v>
      </c>
      <c r="G225" s="209">
        <f t="shared" ref="G225:G250" si="17">IF(E225&gt;0,(F225-E225)/E225,IF(F225&gt;0,1,0))</f>
        <v>-1</v>
      </c>
      <c r="I225" s="226" t="str">
        <f t="shared" ref="I225:I250" si="18">IF(J225="OK","", IF(AND(ABS(G225)&gt;0.25,ABS(F225-E225)&gt;100000),"Please Review",""))</f>
        <v/>
      </c>
      <c r="J225" s="489" t="s">
        <v>647</v>
      </c>
      <c r="K225" s="491">
        <f t="shared" si="16"/>
        <v>0</v>
      </c>
      <c r="L225" s="489" t="s">
        <v>808</v>
      </c>
    </row>
    <row r="226" spans="1:12" ht="20.25" customHeight="1">
      <c r="A226" s="203">
        <v>226</v>
      </c>
      <c r="B226" s="18" t="s">
        <v>809</v>
      </c>
      <c r="D226" s="96">
        <v>0</v>
      </c>
      <c r="E226" s="96">
        <v>0</v>
      </c>
      <c r="F226" s="149">
        <f>'eoy24'!J1145</f>
        <v>0</v>
      </c>
      <c r="G226" s="209">
        <f t="shared" si="17"/>
        <v>0</v>
      </c>
      <c r="I226" s="226" t="str">
        <f t="shared" si="18"/>
        <v/>
      </c>
      <c r="J226" s="489"/>
      <c r="K226" s="491">
        <f t="shared" si="16"/>
        <v>0</v>
      </c>
      <c r="L226" s="489" t="s">
        <v>810</v>
      </c>
    </row>
    <row r="227" spans="1:12" ht="20.25" customHeight="1">
      <c r="A227" s="203">
        <v>227</v>
      </c>
      <c r="B227" s="18" t="s">
        <v>811</v>
      </c>
      <c r="D227" s="96">
        <v>0</v>
      </c>
      <c r="E227" s="96">
        <v>0</v>
      </c>
      <c r="F227" s="149">
        <f>'eoy24'!J1147</f>
        <v>0</v>
      </c>
      <c r="G227" s="209">
        <f t="shared" si="17"/>
        <v>0</v>
      </c>
      <c r="I227" s="226" t="str">
        <f t="shared" si="18"/>
        <v/>
      </c>
      <c r="J227" s="489"/>
      <c r="K227" s="491">
        <f t="shared" si="16"/>
        <v>0</v>
      </c>
      <c r="L227" s="489"/>
    </row>
    <row r="228" spans="1:12" ht="20.25" customHeight="1">
      <c r="A228" s="203">
        <v>228</v>
      </c>
      <c r="B228" s="18" t="s">
        <v>812</v>
      </c>
      <c r="D228" s="96">
        <v>57471</v>
      </c>
      <c r="E228" s="96">
        <v>77414</v>
      </c>
      <c r="F228" s="149">
        <f>'eoy24'!J1149</f>
        <v>0</v>
      </c>
      <c r="G228" s="209">
        <f t="shared" si="17"/>
        <v>-1</v>
      </c>
      <c r="I228" s="226" t="str">
        <f t="shared" si="18"/>
        <v/>
      </c>
      <c r="J228" s="489"/>
      <c r="K228" s="491">
        <f t="shared" si="16"/>
        <v>0</v>
      </c>
      <c r="L228" s="489"/>
    </row>
    <row r="229" spans="1:12" ht="20.25" customHeight="1">
      <c r="A229" s="203">
        <v>229</v>
      </c>
      <c r="B229" s="18" t="s">
        <v>813</v>
      </c>
      <c r="D229" s="96">
        <v>113833</v>
      </c>
      <c r="E229" s="96">
        <v>223300</v>
      </c>
      <c r="F229" s="149">
        <f>'eoy24'!J1150</f>
        <v>0</v>
      </c>
      <c r="G229" s="209">
        <f t="shared" si="17"/>
        <v>-1</v>
      </c>
      <c r="I229" s="226" t="str">
        <f t="shared" si="18"/>
        <v/>
      </c>
      <c r="J229" s="489" t="s">
        <v>647</v>
      </c>
      <c r="K229" s="491">
        <f t="shared" si="16"/>
        <v>0</v>
      </c>
      <c r="L229" s="489" t="s">
        <v>808</v>
      </c>
    </row>
    <row r="230" spans="1:12" ht="20.25" customHeight="1">
      <c r="A230" s="203">
        <v>230</v>
      </c>
      <c r="B230" s="18" t="s">
        <v>814</v>
      </c>
      <c r="D230" s="96">
        <v>604164</v>
      </c>
      <c r="E230" s="96">
        <v>686602</v>
      </c>
      <c r="F230" s="149">
        <f>'eoy24'!J1151</f>
        <v>0</v>
      </c>
      <c r="G230" s="209">
        <f t="shared" si="17"/>
        <v>-1</v>
      </c>
      <c r="I230" s="226" t="str">
        <f t="shared" si="18"/>
        <v/>
      </c>
      <c r="J230" s="489" t="s">
        <v>647</v>
      </c>
      <c r="K230" s="491">
        <f t="shared" si="16"/>
        <v>0</v>
      </c>
      <c r="L230" s="489" t="s">
        <v>808</v>
      </c>
    </row>
    <row r="231" spans="1:12" ht="20.25" customHeight="1">
      <c r="A231" s="203">
        <v>231</v>
      </c>
      <c r="B231" s="18" t="s">
        <v>815</v>
      </c>
      <c r="D231" s="96">
        <v>0</v>
      </c>
      <c r="E231" s="96">
        <v>0</v>
      </c>
      <c r="F231" s="149">
        <f>'eoy24'!J1152</f>
        <v>20000</v>
      </c>
      <c r="G231" s="209">
        <f t="shared" si="17"/>
        <v>1</v>
      </c>
      <c r="I231" s="226" t="str">
        <f t="shared" si="18"/>
        <v/>
      </c>
      <c r="J231" s="489"/>
      <c r="K231" s="491">
        <f t="shared" si="16"/>
        <v>0</v>
      </c>
      <c r="L231" s="489"/>
    </row>
    <row r="232" spans="1:12" ht="20.25" customHeight="1">
      <c r="A232" s="203">
        <v>232</v>
      </c>
      <c r="B232" s="18" t="s">
        <v>816</v>
      </c>
      <c r="D232" s="96">
        <v>242059</v>
      </c>
      <c r="E232" s="96">
        <v>250540</v>
      </c>
      <c r="F232" s="149">
        <f>'eoy24'!J1153</f>
        <v>0</v>
      </c>
      <c r="G232" s="209">
        <f t="shared" si="17"/>
        <v>-1</v>
      </c>
      <c r="I232" s="226" t="str">
        <f t="shared" si="18"/>
        <v/>
      </c>
      <c r="J232" s="489" t="s">
        <v>647</v>
      </c>
      <c r="K232" s="491">
        <f t="shared" si="16"/>
        <v>0</v>
      </c>
      <c r="L232" s="489" t="s">
        <v>808</v>
      </c>
    </row>
    <row r="233" spans="1:12" ht="20.25" customHeight="1">
      <c r="A233" s="203">
        <v>233</v>
      </c>
      <c r="B233" s="18" t="s">
        <v>817</v>
      </c>
      <c r="D233" s="96">
        <v>1227011</v>
      </c>
      <c r="E233" s="96">
        <v>1239587</v>
      </c>
      <c r="F233" s="149">
        <f>'eoy24'!J1154</f>
        <v>450000</v>
      </c>
      <c r="G233" s="209">
        <f t="shared" si="17"/>
        <v>-0.63697586373526016</v>
      </c>
      <c r="I233" s="226" t="str">
        <f t="shared" si="18"/>
        <v/>
      </c>
      <c r="J233" s="489" t="s">
        <v>647</v>
      </c>
      <c r="K233" s="491">
        <f t="shared" si="16"/>
        <v>0</v>
      </c>
      <c r="L233" s="489" t="s">
        <v>808</v>
      </c>
    </row>
    <row r="234" spans="1:12" ht="20.25" customHeight="1">
      <c r="A234" s="203">
        <v>234</v>
      </c>
      <c r="B234" s="18" t="s">
        <v>818</v>
      </c>
      <c r="D234" s="96">
        <v>177941</v>
      </c>
      <c r="E234" s="96">
        <v>0</v>
      </c>
      <c r="F234" s="149">
        <f>'eoy24'!J1155</f>
        <v>0</v>
      </c>
      <c r="G234" s="209">
        <f t="shared" si="17"/>
        <v>0</v>
      </c>
      <c r="I234" s="226" t="str">
        <f t="shared" si="18"/>
        <v/>
      </c>
      <c r="J234" s="489"/>
      <c r="K234" s="491">
        <f t="shared" si="16"/>
        <v>0</v>
      </c>
      <c r="L234" s="489"/>
    </row>
    <row r="235" spans="1:12" ht="20.25" customHeight="1">
      <c r="A235" s="203">
        <v>235</v>
      </c>
      <c r="B235" s="18" t="s">
        <v>819</v>
      </c>
      <c r="D235" s="96">
        <v>0</v>
      </c>
      <c r="E235" s="96">
        <v>0</v>
      </c>
      <c r="F235" s="149">
        <f>'eoy24'!J1157</f>
        <v>0</v>
      </c>
      <c r="G235" s="209">
        <f t="shared" si="17"/>
        <v>0</v>
      </c>
      <c r="I235" s="226" t="str">
        <f t="shared" si="18"/>
        <v/>
      </c>
      <c r="J235" s="489"/>
      <c r="K235" s="491">
        <f t="shared" si="16"/>
        <v>0</v>
      </c>
      <c r="L235" s="489"/>
    </row>
    <row r="236" spans="1:12" ht="20.25" customHeight="1">
      <c r="A236" s="203">
        <v>236</v>
      </c>
      <c r="B236" s="18" t="s">
        <v>820</v>
      </c>
      <c r="D236" s="96">
        <v>0</v>
      </c>
      <c r="E236" s="96">
        <v>0</v>
      </c>
      <c r="F236" s="149">
        <f>'eoy24'!J1158</f>
        <v>0</v>
      </c>
      <c r="G236" s="209">
        <f t="shared" si="17"/>
        <v>0</v>
      </c>
      <c r="I236" s="226" t="str">
        <f t="shared" si="18"/>
        <v/>
      </c>
      <c r="J236" s="489"/>
      <c r="K236" s="491">
        <f t="shared" si="16"/>
        <v>0</v>
      </c>
      <c r="L236" s="489"/>
    </row>
    <row r="237" spans="1:12" ht="20.25" customHeight="1">
      <c r="A237" s="203">
        <v>237</v>
      </c>
      <c r="B237" s="18" t="s">
        <v>821</v>
      </c>
      <c r="D237" s="96">
        <v>232800</v>
      </c>
      <c r="E237" s="96">
        <v>679800</v>
      </c>
      <c r="F237" s="149">
        <f>'eoy24'!J1163</f>
        <v>0</v>
      </c>
      <c r="G237" s="209">
        <f t="shared" si="17"/>
        <v>-1</v>
      </c>
      <c r="I237" s="226" t="str">
        <f t="shared" si="18"/>
        <v/>
      </c>
      <c r="J237" s="489" t="s">
        <v>647</v>
      </c>
      <c r="K237" s="491">
        <f t="shared" si="16"/>
        <v>0</v>
      </c>
      <c r="L237" s="489" t="s">
        <v>808</v>
      </c>
    </row>
    <row r="238" spans="1:12" ht="20.25" customHeight="1">
      <c r="A238" s="203">
        <v>238</v>
      </c>
      <c r="B238" s="18" t="s">
        <v>822</v>
      </c>
      <c r="D238" s="96">
        <v>1643568</v>
      </c>
      <c r="E238" s="96">
        <v>972728</v>
      </c>
      <c r="F238" s="149">
        <f>'eoy24'!J1164</f>
        <v>0</v>
      </c>
      <c r="G238" s="209">
        <f t="shared" si="17"/>
        <v>-1</v>
      </c>
      <c r="I238" s="226" t="str">
        <f t="shared" si="18"/>
        <v/>
      </c>
      <c r="J238" s="489" t="s">
        <v>647</v>
      </c>
      <c r="K238" s="491">
        <f t="shared" si="16"/>
        <v>0</v>
      </c>
      <c r="L238" s="489" t="s">
        <v>808</v>
      </c>
    </row>
    <row r="239" spans="1:12" ht="20.25" customHeight="1">
      <c r="A239" s="203">
        <v>239</v>
      </c>
      <c r="B239" s="18" t="s">
        <v>823</v>
      </c>
      <c r="D239" s="96">
        <v>1008466</v>
      </c>
      <c r="E239" s="96">
        <v>946194</v>
      </c>
      <c r="F239" s="149">
        <f>'eoy24'!J1165</f>
        <v>0</v>
      </c>
      <c r="G239" s="209">
        <f t="shared" si="17"/>
        <v>-1</v>
      </c>
      <c r="I239" s="226" t="str">
        <f t="shared" si="18"/>
        <v/>
      </c>
      <c r="J239" s="489" t="s">
        <v>647</v>
      </c>
      <c r="K239" s="491">
        <f t="shared" si="16"/>
        <v>0</v>
      </c>
      <c r="L239" s="489" t="s">
        <v>808</v>
      </c>
    </row>
    <row r="240" spans="1:12" ht="20.25" customHeight="1">
      <c r="A240" s="203">
        <v>240</v>
      </c>
      <c r="B240" s="18" t="s">
        <v>824</v>
      </c>
      <c r="D240" s="96">
        <v>0</v>
      </c>
      <c r="E240" s="96">
        <v>0</v>
      </c>
      <c r="F240" s="149">
        <f>'eoy24'!J1166</f>
        <v>0</v>
      </c>
      <c r="G240" s="209">
        <f t="shared" si="17"/>
        <v>0</v>
      </c>
      <c r="I240" s="226" t="str">
        <f t="shared" si="18"/>
        <v/>
      </c>
      <c r="J240" s="489"/>
      <c r="K240" s="491">
        <f t="shared" si="16"/>
        <v>0</v>
      </c>
      <c r="L240" s="489"/>
    </row>
    <row r="241" spans="1:12" ht="20.25" customHeight="1">
      <c r="A241" s="203">
        <v>241</v>
      </c>
      <c r="B241" s="4" t="s">
        <v>825</v>
      </c>
      <c r="D241" s="96">
        <v>0</v>
      </c>
      <c r="E241" s="96">
        <v>0</v>
      </c>
      <c r="F241" s="149">
        <f>'eoy24'!J1167</f>
        <v>0</v>
      </c>
      <c r="G241" s="209">
        <f t="shared" si="17"/>
        <v>0</v>
      </c>
      <c r="I241" s="226" t="str">
        <f t="shared" si="18"/>
        <v/>
      </c>
      <c r="J241" s="489"/>
      <c r="K241" s="491">
        <f t="shared" si="16"/>
        <v>0</v>
      </c>
      <c r="L241" s="489"/>
    </row>
    <row r="242" spans="1:12" ht="20.25" customHeight="1">
      <c r="A242" s="203">
        <v>242</v>
      </c>
      <c r="B242" s="4" t="s">
        <v>826</v>
      </c>
      <c r="D242" s="96">
        <v>515721</v>
      </c>
      <c r="E242" s="96">
        <v>441197.27772800002</v>
      </c>
      <c r="F242" s="149">
        <f>'eoy24'!J1168</f>
        <v>429010.43</v>
      </c>
      <c r="G242" s="209">
        <f t="shared" si="17"/>
        <v>-2.7622218774235652E-2</v>
      </c>
      <c r="I242" s="226" t="str">
        <f t="shared" si="18"/>
        <v/>
      </c>
      <c r="J242" s="489"/>
      <c r="K242" s="491">
        <f t="shared" si="16"/>
        <v>0</v>
      </c>
      <c r="L242" s="489"/>
    </row>
    <row r="243" spans="1:12" ht="20.25" customHeight="1">
      <c r="A243" s="203">
        <v>243</v>
      </c>
      <c r="B243" s="4" t="s">
        <v>827</v>
      </c>
      <c r="D243" s="96">
        <v>486889</v>
      </c>
      <c r="E243" s="96">
        <v>493750</v>
      </c>
      <c r="F243" s="149">
        <f>'eoy24'!J1169</f>
        <v>543077</v>
      </c>
      <c r="G243" s="209">
        <f t="shared" si="17"/>
        <v>9.9902784810126585E-2</v>
      </c>
      <c r="I243" s="226" t="str">
        <f t="shared" si="18"/>
        <v/>
      </c>
      <c r="J243" s="489"/>
      <c r="K243" s="491">
        <f t="shared" si="16"/>
        <v>0</v>
      </c>
      <c r="L243" s="489"/>
    </row>
    <row r="244" spans="1:12" ht="20.25" customHeight="1">
      <c r="A244" s="203">
        <v>244</v>
      </c>
      <c r="B244" s="4" t="s">
        <v>828</v>
      </c>
      <c r="D244" s="96">
        <v>0</v>
      </c>
      <c r="E244" s="96">
        <v>0</v>
      </c>
      <c r="F244" s="149">
        <f>'eoy24'!J1170</f>
        <v>0</v>
      </c>
      <c r="G244" s="209">
        <f t="shared" si="17"/>
        <v>0</v>
      </c>
      <c r="I244" s="226" t="str">
        <f t="shared" si="18"/>
        <v/>
      </c>
      <c r="J244" s="489"/>
      <c r="K244" s="491">
        <f t="shared" si="16"/>
        <v>0</v>
      </c>
      <c r="L244" s="489"/>
    </row>
    <row r="245" spans="1:12" ht="20.25" customHeight="1">
      <c r="A245" s="203">
        <v>245</v>
      </c>
      <c r="B245" s="4" t="s">
        <v>829</v>
      </c>
      <c r="D245" s="96">
        <v>0</v>
      </c>
      <c r="E245" s="96">
        <v>0</v>
      </c>
      <c r="F245" s="149">
        <f>'eoy24'!J1171</f>
        <v>0</v>
      </c>
      <c r="G245" s="209">
        <f t="shared" si="17"/>
        <v>0</v>
      </c>
      <c r="I245" s="226" t="str">
        <f t="shared" si="18"/>
        <v/>
      </c>
      <c r="J245" s="489"/>
      <c r="K245" s="491">
        <f t="shared" si="16"/>
        <v>0</v>
      </c>
      <c r="L245" s="489"/>
    </row>
    <row r="246" spans="1:12" ht="20.25" customHeight="1">
      <c r="A246" s="203">
        <v>246</v>
      </c>
      <c r="B246" s="4" t="s">
        <v>830</v>
      </c>
      <c r="D246" s="96">
        <v>0</v>
      </c>
      <c r="E246" s="96">
        <v>0</v>
      </c>
      <c r="F246" s="149">
        <f>'eoy24'!J1172</f>
        <v>0</v>
      </c>
      <c r="G246" s="209">
        <f t="shared" si="17"/>
        <v>0</v>
      </c>
      <c r="I246" s="226" t="str">
        <f t="shared" si="18"/>
        <v/>
      </c>
      <c r="J246" s="489"/>
      <c r="K246" s="491">
        <f t="shared" si="16"/>
        <v>0</v>
      </c>
      <c r="L246" s="489"/>
    </row>
    <row r="247" spans="1:12" ht="20.25" customHeight="1">
      <c r="A247" s="203">
        <v>247</v>
      </c>
      <c r="B247" s="4" t="s">
        <v>831</v>
      </c>
      <c r="C247" s="575"/>
      <c r="D247" s="479">
        <v>0</v>
      </c>
      <c r="E247" s="96">
        <v>0</v>
      </c>
      <c r="F247" s="149">
        <f>'eoy24'!J1173</f>
        <v>0</v>
      </c>
      <c r="G247" s="209">
        <f t="shared" si="17"/>
        <v>0</v>
      </c>
      <c r="I247" s="226" t="str">
        <f t="shared" si="18"/>
        <v/>
      </c>
      <c r="J247" s="489"/>
      <c r="K247" s="491">
        <f t="shared" si="16"/>
        <v>0</v>
      </c>
      <c r="L247" s="489"/>
    </row>
    <row r="248" spans="1:12" ht="20.25" customHeight="1">
      <c r="A248" s="203">
        <v>248</v>
      </c>
      <c r="B248" s="4" t="s">
        <v>832</v>
      </c>
      <c r="D248" s="96">
        <v>0</v>
      </c>
      <c r="E248" s="96">
        <v>0</v>
      </c>
      <c r="F248" s="149">
        <f>'eoy24'!J1174</f>
        <v>0</v>
      </c>
      <c r="G248" s="209">
        <f t="shared" si="17"/>
        <v>0</v>
      </c>
      <c r="I248" s="226" t="str">
        <f t="shared" si="18"/>
        <v/>
      </c>
      <c r="J248" s="489"/>
      <c r="K248" s="491">
        <f t="shared" si="16"/>
        <v>0</v>
      </c>
      <c r="L248" s="489"/>
    </row>
    <row r="249" spans="1:12" ht="20.25" customHeight="1">
      <c r="A249" s="203">
        <v>249</v>
      </c>
      <c r="B249" s="18" t="s">
        <v>833</v>
      </c>
      <c r="D249" s="96">
        <v>1054376</v>
      </c>
      <c r="E249" s="96">
        <v>1181390</v>
      </c>
      <c r="F249" s="149">
        <f>'eoy24'!J1175</f>
        <v>1225646</v>
      </c>
      <c r="G249" s="209">
        <f t="shared" si="17"/>
        <v>3.7460957008269923E-2</v>
      </c>
      <c r="I249" s="226" t="str">
        <f t="shared" si="18"/>
        <v/>
      </c>
      <c r="J249" s="489"/>
      <c r="K249" s="491">
        <f t="shared" si="16"/>
        <v>0</v>
      </c>
      <c r="L249" s="489"/>
    </row>
    <row r="250" spans="1:12" ht="20.25" customHeight="1">
      <c r="A250" s="203">
        <v>250</v>
      </c>
      <c r="B250" s="18" t="s">
        <v>834</v>
      </c>
      <c r="D250" s="96">
        <v>7600378</v>
      </c>
      <c r="E250" s="96">
        <v>7418489.2777279997</v>
      </c>
      <c r="F250" s="149">
        <f>'eoy24'!J1176</f>
        <v>2667733</v>
      </c>
      <c r="G250" s="209">
        <f t="shared" si="17"/>
        <v>-0.64039403440143206</v>
      </c>
      <c r="I250" s="226" t="str">
        <f t="shared" si="18"/>
        <v/>
      </c>
      <c r="J250" s="489" t="s">
        <v>647</v>
      </c>
      <c r="K250" s="491">
        <f t="shared" si="16"/>
        <v>0</v>
      </c>
      <c r="L250" s="489" t="s">
        <v>693</v>
      </c>
    </row>
    <row r="251" spans="1:12" ht="63" customHeight="1">
      <c r="A251" s="203"/>
      <c r="B251" s="206" t="s">
        <v>835</v>
      </c>
      <c r="C251" s="575"/>
      <c r="D251" s="208" t="s">
        <v>774</v>
      </c>
      <c r="E251" s="208" t="s">
        <v>775</v>
      </c>
      <c r="F251" s="208" t="s">
        <v>776</v>
      </c>
      <c r="G251" s="208" t="s">
        <v>777</v>
      </c>
    </row>
    <row r="252" spans="1:12" ht="20.25" customHeight="1">
      <c r="A252" s="203">
        <v>252</v>
      </c>
      <c r="B252" s="18" t="s">
        <v>836</v>
      </c>
      <c r="D252" s="96">
        <v>198650</v>
      </c>
      <c r="E252" s="96">
        <v>0</v>
      </c>
      <c r="F252" s="149">
        <f>'eoy24'!J1195</f>
        <v>186000</v>
      </c>
      <c r="G252" s="209">
        <f>IF(E252&gt;0,(F252-E252)/E252,IF(F252&gt;0,1,0))</f>
        <v>1</v>
      </c>
      <c r="I252" s="226" t="str">
        <f>IF(J252="OK","", IF(AND(ABS(G252)&gt;0.25,ABS(F252-E252)&gt;100000),"Please Review",""))</f>
        <v/>
      </c>
      <c r="J252" s="489" t="s">
        <v>647</v>
      </c>
      <c r="K252" s="491">
        <f t="shared" si="16"/>
        <v>0</v>
      </c>
      <c r="L252" s="489" t="s">
        <v>837</v>
      </c>
    </row>
    <row r="253" spans="1:12" ht="20.25" customHeight="1">
      <c r="A253" s="203"/>
      <c r="D253" s="212"/>
      <c r="E253" s="212"/>
      <c r="G253" s="210"/>
    </row>
    <row r="254" spans="1:12" ht="63" customHeight="1">
      <c r="A254" s="203"/>
      <c r="B254" s="206" t="s">
        <v>838</v>
      </c>
      <c r="C254" s="575"/>
      <c r="D254" s="208" t="s">
        <v>774</v>
      </c>
      <c r="E254" s="208" t="s">
        <v>775</v>
      </c>
      <c r="F254" s="208" t="s">
        <v>776</v>
      </c>
      <c r="G254" s="208" t="s">
        <v>777</v>
      </c>
    </row>
    <row r="255" spans="1:12" ht="20.25" customHeight="1">
      <c r="A255" s="203">
        <v>255</v>
      </c>
      <c r="B255" s="18" t="s">
        <v>839</v>
      </c>
      <c r="D255" s="96">
        <v>0</v>
      </c>
      <c r="E255" s="96">
        <v>0</v>
      </c>
      <c r="F255" s="149">
        <f>'eoy24'!J1231</f>
        <v>0</v>
      </c>
      <c r="G255" s="209">
        <f>IF(E255&gt;0,(F255-E255)/E255,IF(F255&gt;0,1,0))</f>
        <v>0</v>
      </c>
      <c r="I255" s="226" t="str">
        <f>IF(J255="OK","", IF(AND(ABS(G255)&gt;0.25,ABS(F255-E255)&gt;100000),"Please Review",""))</f>
        <v/>
      </c>
      <c r="J255" s="489"/>
      <c r="K255" s="491">
        <f t="shared" si="16"/>
        <v>0</v>
      </c>
      <c r="L255" s="489"/>
    </row>
    <row r="256" spans="1:12" ht="20.25" customHeight="1">
      <c r="A256" s="203"/>
    </row>
    <row r="257" spans="1:11" ht="62.45">
      <c r="A257" s="203"/>
      <c r="B257" s="206" t="s">
        <v>840</v>
      </c>
      <c r="C257" s="575"/>
      <c r="D257" s="207" t="s">
        <v>639</v>
      </c>
      <c r="E257" s="207" t="s">
        <v>640</v>
      </c>
      <c r="F257" s="207" t="s">
        <v>641</v>
      </c>
      <c r="G257" s="208" t="s">
        <v>642</v>
      </c>
      <c r="I257" s="252" t="s">
        <v>643</v>
      </c>
      <c r="J257" s="252" t="s">
        <v>644</v>
      </c>
    </row>
    <row r="258" spans="1:11" ht="20.25" customHeight="1">
      <c r="A258" s="203">
        <v>258</v>
      </c>
      <c r="B258" s="18" t="s">
        <v>841</v>
      </c>
      <c r="C258" s="575"/>
      <c r="D258" s="96">
        <v>9507906</v>
      </c>
      <c r="E258" s="96">
        <v>9928594</v>
      </c>
      <c r="F258" s="149">
        <f ca="1">'eoy24'!O1254+'eoy24'!O1263</f>
        <v>9861030</v>
      </c>
      <c r="G258" s="209">
        <f ca="1">IF(E258&gt;0,(F258-E258)/E258,IF(F258&gt;0,1,0))</f>
        <v>-6.8049917239037068E-3</v>
      </c>
      <c r="I258" s="226" t="str">
        <f>IF(J258="OK","", IF(AND(ABS(G258)&gt;0.25,ABS(F258-E258)&gt;100000),"Please Review",""))</f>
        <v/>
      </c>
      <c r="J258" s="489" t="s">
        <v>647</v>
      </c>
      <c r="K258" s="491">
        <f t="shared" si="16"/>
        <v>0</v>
      </c>
    </row>
    <row r="259" spans="1:11" ht="20.25" customHeight="1">
      <c r="A259" s="203">
        <v>259</v>
      </c>
      <c r="B259" s="18" t="s">
        <v>842</v>
      </c>
      <c r="C259" s="575"/>
      <c r="D259" s="213">
        <v>111.3</v>
      </c>
      <c r="E259" s="213">
        <v>111.87200000000061</v>
      </c>
      <c r="F259" s="213">
        <v>114</v>
      </c>
      <c r="G259" s="209">
        <f>IF(E259&gt;0,(F259-E259)/E259,IF(F259&gt;0,1,0))</f>
        <v>1.9021739130429219E-2</v>
      </c>
      <c r="I259" s="251"/>
      <c r="J259" s="251"/>
    </row>
    <row r="260" spans="1:11" ht="20.25" customHeight="1">
      <c r="A260" s="203">
        <v>260</v>
      </c>
      <c r="B260" s="18" t="s">
        <v>843</v>
      </c>
      <c r="C260" s="575"/>
      <c r="D260" s="96">
        <v>85426</v>
      </c>
      <c r="E260" s="96">
        <v>88750</v>
      </c>
      <c r="F260" s="149">
        <f ca="1">IF(F259&gt;0,ROUND(F258/F259,0),0)</f>
        <v>86500</v>
      </c>
      <c r="G260" s="209">
        <f ca="1">IF(E260&gt;0,(F260-E260)/E260,IF(F260&gt;0,1,0))</f>
        <v>-2.5352112676056339E-2</v>
      </c>
      <c r="I260" s="226" t="str">
        <f ca="1">IF(J260="OK","", IF(AND(ABS(G260)&gt;0.25,ABS(F260-E260)&gt;100000),"Please Review",""))</f>
        <v/>
      </c>
      <c r="J260" s="489"/>
      <c r="K260" s="491">
        <f t="shared" ca="1" si="16"/>
        <v>0</v>
      </c>
    </row>
    <row r="261" spans="1:11" ht="20.25" customHeight="1">
      <c r="A261" s="203"/>
    </row>
    <row r="262" spans="1:11" ht="20.25" customHeight="1">
      <c r="A262" s="203"/>
      <c r="B262" s="206" t="s">
        <v>844</v>
      </c>
      <c r="D262" s="207" t="s">
        <v>639</v>
      </c>
      <c r="E262" s="207" t="s">
        <v>640</v>
      </c>
      <c r="F262" s="207" t="s">
        <v>641</v>
      </c>
      <c r="G262" s="207" t="s">
        <v>845</v>
      </c>
      <c r="K262" s="491">
        <f ca="1">SUM(K68:K260)</f>
        <v>0</v>
      </c>
    </row>
    <row r="263" spans="1:11" ht="20.25" customHeight="1">
      <c r="A263" s="203">
        <v>263</v>
      </c>
      <c r="B263" s="18" t="s">
        <v>846</v>
      </c>
      <c r="D263" s="96">
        <v>24980291.620000001</v>
      </c>
      <c r="E263" s="96">
        <v>25613574.8929496</v>
      </c>
      <c r="F263" s="149">
        <f ca="1">calcmisc!E562</f>
        <v>23742018</v>
      </c>
      <c r="G263" s="253">
        <f ca="1">F263/E263</f>
        <v>0.92693105508420204</v>
      </c>
    </row>
    <row r="264" spans="1:11" ht="20.25" customHeight="1">
      <c r="A264" s="203"/>
    </row>
    <row r="265" spans="1:11" ht="20.25" customHeight="1">
      <c r="A265" s="203"/>
      <c r="B265" s="206" t="s">
        <v>847</v>
      </c>
      <c r="D265" s="207" t="s">
        <v>639</v>
      </c>
      <c r="E265" s="207" t="s">
        <v>640</v>
      </c>
      <c r="F265" s="207" t="s">
        <v>641</v>
      </c>
      <c r="G265" s="207" t="s">
        <v>845</v>
      </c>
    </row>
    <row r="266" spans="1:11" ht="20.25" customHeight="1">
      <c r="A266" s="203">
        <v>266</v>
      </c>
      <c r="B266" s="18" t="s">
        <v>848</v>
      </c>
      <c r="D266" s="96">
        <v>5255343.4800000004</v>
      </c>
      <c r="E266" s="96">
        <v>5543034.6829495998</v>
      </c>
      <c r="F266" s="149">
        <f ca="1">calcmisc!E569</f>
        <v>6021812</v>
      </c>
      <c r="G266" s="253">
        <f ca="1">F266/E266</f>
        <v>1.0863745843992501</v>
      </c>
    </row>
  </sheetData>
  <sheetProtection algorithmName="SHA-512" hashValue="YHrm7nkrr80TN9I3mNDrxH9kGSIwX1dXgmo7AtsegINOiIUPEgCtGhmPfzUGKfEf8qbSIjTd8GlG9o1B0dkvIA==" saltValue="Dk2LM9eZDgPhmyvRRFf9XQ==" spinCount="100000" sheet="1" objects="1" scenarios="1"/>
  <customSheetViews>
    <customSheetView guid="{EBCA391C-5ACD-495F-8ED1-C69B7D739622}" scale="70" showGridLines="0" topLeftCell="A232">
      <selection activeCell="C248" sqref="C248"/>
      <rowBreaks count="2" manualBreakCount="2">
        <brk id="35" max="16383" man="1"/>
        <brk id="185" max="16383" man="1"/>
      </rowBreaks>
      <pageMargins left="0" right="0" top="0" bottom="0" header="0" footer="0"/>
      <pageSetup scale="62" orientation="landscape" r:id="rId1"/>
      <headerFooter alignWithMargins="0">
        <oddFooter>&amp;CReports Page 8 of 8</oddFooter>
      </headerFooter>
    </customSheetView>
  </customSheetViews>
  <phoneticPr fontId="0" type="noConversion"/>
  <dataValidations count="1">
    <dataValidation type="list" allowBlank="1" showInputMessage="1" showErrorMessage="1" sqref="J260 J68 J70:J108 J113:J135 J137:J146 J148:J149 J153:J181 J183:J187 J193:J219 J225:J250 J252 J255 J258" xr:uid="{00000000-0002-0000-0200-000000000000}">
      <formula1>"OK"</formula1>
    </dataValidation>
  </dataValidations>
  <pageMargins left="0.39" right="0.2" top="1" bottom="0.45" header="0.5" footer="0.5"/>
  <pageSetup scale="59" orientation="landscape" r:id="rId2"/>
  <headerFooter alignWithMargins="0">
    <oddFooter>&amp;CReports Page 8 of 8</oddFooter>
  </headerFooter>
  <rowBreaks count="1" manualBreakCount="1">
    <brk id="35" max="16383" man="1"/>
  </rowBreaks>
  <ignoredErrors>
    <ignoredError sqref="E55 F25" formula="1"/>
  </ignoredErrors>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filterMode="1">
    <tabColor theme="6"/>
  </sheetPr>
  <dimension ref="A1:AI930"/>
  <sheetViews>
    <sheetView showGridLines="0" topLeftCell="B1" workbookViewId="0">
      <selection activeCell="E767" sqref="E767"/>
    </sheetView>
  </sheetViews>
  <sheetFormatPr defaultColWidth="8.77734375" defaultRowHeight="15" customHeight="1"/>
  <cols>
    <col min="1" max="1" width="8.77734375" style="30" customWidth="1"/>
    <col min="2" max="2" width="5.77734375" style="30" customWidth="1"/>
    <col min="3" max="3" width="9.77734375" style="61" customWidth="1"/>
    <col min="4" max="4" width="43.21875" style="30" bestFit="1" customWidth="1"/>
    <col min="5" max="5" width="10.77734375" style="30" customWidth="1"/>
    <col min="6" max="6" width="5.77734375" style="30" customWidth="1"/>
    <col min="7" max="7" width="9.77734375" style="30" customWidth="1"/>
    <col min="8" max="8" width="38.109375" style="30" bestFit="1" customWidth="1"/>
    <col min="9" max="9" width="10.77734375" style="30" customWidth="1"/>
    <col min="10" max="15" width="8.77734375" style="30"/>
    <col min="16" max="16" width="25" style="30" bestFit="1" customWidth="1"/>
    <col min="17" max="17" width="24.6640625" style="30" bestFit="1" customWidth="1"/>
    <col min="18" max="16384" width="8.77734375" style="30"/>
  </cols>
  <sheetData>
    <row r="1" spans="1:35" ht="13.15"/>
    <row r="2" spans="1:35" ht="12" hidden="1" customHeight="1"/>
    <row r="3" spans="1:35" ht="13.15" hidden="1"/>
    <row r="4" spans="1:35" ht="13.15">
      <c r="B4" s="30" t="s">
        <v>849</v>
      </c>
    </row>
    <row r="5" spans="1:35" ht="13.15">
      <c r="B5" s="30" t="s">
        <v>850</v>
      </c>
    </row>
    <row r="6" spans="1:35" ht="15.6">
      <c r="B6" s="30" t="s">
        <v>851</v>
      </c>
      <c r="H6" s="1"/>
      <c r="W6" s="1"/>
      <c r="X6" s="1"/>
      <c r="Y6" s="1"/>
      <c r="Z6" s="1"/>
      <c r="AA6" s="1"/>
      <c r="AB6" s="1"/>
      <c r="AC6" s="90"/>
      <c r="AD6" s="85"/>
      <c r="AE6" s="1"/>
      <c r="AF6" s="1"/>
      <c r="AG6" s="1"/>
      <c r="AH6" s="111"/>
      <c r="AI6"/>
    </row>
    <row r="7" spans="1:35" ht="15.6">
      <c r="B7" s="30" t="s">
        <v>852</v>
      </c>
      <c r="H7" s="1"/>
      <c r="W7" s="1"/>
      <c r="X7" s="1"/>
      <c r="Y7" s="1"/>
      <c r="Z7" s="1"/>
      <c r="AA7" s="1"/>
      <c r="AB7" s="1"/>
      <c r="AC7" s="90"/>
      <c r="AD7" s="85"/>
      <c r="AE7" s="1"/>
      <c r="AF7" s="1"/>
      <c r="AG7" s="1"/>
      <c r="AH7" s="111"/>
      <c r="AI7"/>
    </row>
    <row r="8" spans="1:35" ht="15.6">
      <c r="B8" s="30" t="s">
        <v>853</v>
      </c>
      <c r="H8" s="1"/>
      <c r="W8" s="1"/>
      <c r="X8" s="1"/>
      <c r="Y8" s="1"/>
      <c r="Z8" s="1"/>
      <c r="AA8" s="1"/>
      <c r="AB8" s="1"/>
      <c r="AC8" s="90"/>
      <c r="AD8" s="85"/>
      <c r="AE8" s="1"/>
      <c r="AF8" s="1"/>
      <c r="AG8" s="1"/>
      <c r="AH8" s="111"/>
      <c r="AI8"/>
    </row>
    <row r="9" spans="1:35" ht="15.6">
      <c r="B9" s="30" t="s">
        <v>854</v>
      </c>
      <c r="H9" s="1"/>
      <c r="W9" s="1"/>
      <c r="X9" s="1"/>
      <c r="Y9" s="1"/>
      <c r="Z9" s="1"/>
      <c r="AA9" s="1"/>
      <c r="AB9" s="1"/>
      <c r="AC9" s="90"/>
      <c r="AD9" s="85"/>
      <c r="AE9" s="1"/>
      <c r="AF9" s="1"/>
      <c r="AG9" s="1"/>
      <c r="AH9" s="111"/>
      <c r="AI9"/>
    </row>
    <row r="10" spans="1:35" ht="15.6">
      <c r="B10" s="30" t="s">
        <v>855</v>
      </c>
      <c r="W10" s="1"/>
      <c r="X10" s="1"/>
      <c r="Y10" s="1"/>
      <c r="Z10" s="1"/>
      <c r="AA10" s="1"/>
      <c r="AB10" s="1"/>
      <c r="AC10" s="90"/>
      <c r="AD10" s="85"/>
      <c r="AE10" s="1"/>
      <c r="AF10" s="1"/>
      <c r="AG10" s="1"/>
      <c r="AH10" s="111"/>
      <c r="AI10"/>
    </row>
    <row r="11" spans="1:35" ht="14.25" customHeight="1">
      <c r="W11" s="1"/>
      <c r="X11" s="1"/>
      <c r="Y11" s="1"/>
      <c r="Z11" s="1"/>
      <c r="AA11" s="1"/>
      <c r="AB11" s="1"/>
      <c r="AC11" s="90"/>
      <c r="AD11" s="85"/>
      <c r="AE11" s="1"/>
      <c r="AF11" s="1"/>
      <c r="AG11" s="1"/>
      <c r="AH11" s="111"/>
      <c r="AI11"/>
    </row>
    <row r="12" spans="1:35" ht="15.6">
      <c r="B12" s="120"/>
      <c r="C12" s="128" t="s">
        <v>856</v>
      </c>
      <c r="D12" s="66" t="str">
        <f>'eoy24'!C7</f>
        <v>162</v>
      </c>
      <c r="W12" s="1"/>
      <c r="X12" s="1"/>
      <c r="Y12" s="1"/>
      <c r="Z12" s="1"/>
      <c r="AA12" s="1"/>
      <c r="AB12" s="1"/>
      <c r="AC12" s="90"/>
      <c r="AD12" s="85"/>
      <c r="AE12" s="1"/>
      <c r="AF12" s="1"/>
      <c r="AG12" s="1"/>
      <c r="AH12" s="111"/>
      <c r="AI12"/>
    </row>
    <row r="13" spans="1:35" ht="15.6">
      <c r="B13" s="120"/>
      <c r="C13" s="128" t="s">
        <v>857</v>
      </c>
      <c r="D13" s="30" t="str">
        <f>'eoy24'!D7</f>
        <v>Lunenburg</v>
      </c>
      <c r="H13" s="76">
        <f ca="1">TODAY()</f>
        <v>45820</v>
      </c>
      <c r="W13" s="1"/>
      <c r="X13" s="1"/>
      <c r="Y13" s="1"/>
      <c r="Z13" s="1"/>
      <c r="AA13" s="1"/>
      <c r="AB13" s="1"/>
      <c r="AC13" s="90"/>
      <c r="AD13" s="85"/>
      <c r="AE13" s="1"/>
      <c r="AF13" s="1"/>
      <c r="AG13" s="1"/>
      <c r="AH13" s="111"/>
      <c r="AI13"/>
    </row>
    <row r="14" spans="1:35" ht="14.25" customHeight="1">
      <c r="B14" s="120"/>
      <c r="C14" s="128"/>
      <c r="W14" s="1"/>
      <c r="X14" s="1"/>
      <c r="Y14" s="1"/>
      <c r="Z14" s="1"/>
      <c r="AA14" s="1"/>
      <c r="AB14" s="1"/>
      <c r="AC14" s="90"/>
      <c r="AD14" s="85"/>
      <c r="AE14" s="1"/>
      <c r="AF14" s="1"/>
      <c r="AG14" s="1"/>
      <c r="AH14" s="111"/>
      <c r="AI14"/>
    </row>
    <row r="15" spans="1:35" ht="15" hidden="1" customHeight="1">
      <c r="W15" s="1"/>
      <c r="X15" s="1"/>
      <c r="Y15" s="1"/>
      <c r="Z15" s="1"/>
      <c r="AA15" s="1"/>
      <c r="AB15" s="1"/>
      <c r="AC15" s="90"/>
      <c r="AD15" s="85"/>
      <c r="AE15" s="1"/>
      <c r="AF15" s="1"/>
      <c r="AG15" s="1"/>
      <c r="AH15" s="111"/>
      <c r="AI15"/>
    </row>
    <row r="16" spans="1:35" ht="15" hidden="1" customHeight="1">
      <c r="A16" s="1">
        <f ca="1">IF(SUM(A$24:A$26)&gt;0, 1,0)</f>
        <v>0</v>
      </c>
      <c r="B16" s="1"/>
      <c r="C16" s="41"/>
      <c r="D16" s="1"/>
      <c r="E16" s="1"/>
      <c r="F16" s="1"/>
      <c r="G16" s="1"/>
      <c r="H16" s="1"/>
      <c r="I16" s="1"/>
      <c r="W16" s="1"/>
      <c r="X16" s="1"/>
      <c r="Y16" s="1"/>
      <c r="Z16" s="1"/>
      <c r="AA16" s="1"/>
      <c r="AB16" s="1"/>
      <c r="AC16" s="90"/>
      <c r="AD16" s="85"/>
      <c r="AE16" s="1"/>
      <c r="AF16" s="1"/>
      <c r="AG16" s="1"/>
      <c r="AH16" s="111"/>
      <c r="AI16"/>
    </row>
    <row r="17" spans="1:35" ht="15" hidden="1" customHeight="1">
      <c r="A17" s="557">
        <f ca="1">IF(SUM(A$24:A$26)&gt;0, 1,0)</f>
        <v>0</v>
      </c>
      <c r="B17" s="556" t="s">
        <v>858</v>
      </c>
      <c r="C17" s="559"/>
      <c r="D17" s="557"/>
      <c r="E17" s="557"/>
      <c r="F17" s="557"/>
      <c r="G17" s="557"/>
      <c r="H17" s="557"/>
      <c r="I17" s="557"/>
      <c r="W17" s="1"/>
      <c r="X17" s="1"/>
      <c r="Y17" s="1"/>
      <c r="Z17" s="1"/>
      <c r="AA17" s="3"/>
      <c r="AB17" s="1"/>
      <c r="AC17" s="90"/>
      <c r="AD17" s="85"/>
      <c r="AE17" s="1"/>
      <c r="AF17" s="1"/>
      <c r="AG17" s="1"/>
      <c r="AH17" s="111"/>
      <c r="AI17"/>
    </row>
    <row r="18" spans="1:35" ht="15" hidden="1" customHeight="1">
      <c r="A18" s="30">
        <f ca="1">IF(SUM(A$24:A$26)&gt;0, 1,0)</f>
        <v>0</v>
      </c>
      <c r="W18" s="1"/>
      <c r="X18" s="1"/>
      <c r="Y18" s="1"/>
      <c r="Z18" s="1"/>
      <c r="AA18" s="1"/>
      <c r="AB18" s="1"/>
      <c r="AC18" s="90"/>
      <c r="AD18" s="85"/>
      <c r="AE18" s="1"/>
      <c r="AF18" s="1"/>
      <c r="AG18" s="1"/>
      <c r="AH18" s="111"/>
      <c r="AI18"/>
    </row>
    <row r="19" spans="1:35" s="1" customFormat="1" ht="15" hidden="1" customHeight="1">
      <c r="A19" s="1">
        <f>IF(A$24&gt;0, 1,0)</f>
        <v>0</v>
      </c>
      <c r="C19" s="41" t="s">
        <v>859</v>
      </c>
      <c r="AC19" s="90"/>
      <c r="AD19" s="85"/>
      <c r="AH19" s="111"/>
      <c r="AI19"/>
    </row>
    <row r="20" spans="1:35" s="1" customFormat="1" ht="15" hidden="1" customHeight="1">
      <c r="A20" s="1">
        <f>IF(A$24&gt;0, 1,0)</f>
        <v>0</v>
      </c>
      <c r="C20" s="41" t="s">
        <v>860</v>
      </c>
      <c r="AA20" s="3"/>
      <c r="AC20" s="90"/>
      <c r="AD20" s="85"/>
      <c r="AH20" s="111"/>
      <c r="AI20"/>
    </row>
    <row r="21" spans="1:35" ht="15" hidden="1" customHeight="1">
      <c r="A21" s="30">
        <f ca="1">IF(SUM(A$24:A$26)&gt;0, 1,0)</f>
        <v>0</v>
      </c>
      <c r="W21" s="1"/>
      <c r="X21" s="1"/>
      <c r="Y21" s="1"/>
      <c r="Z21" s="1"/>
      <c r="AA21" s="3"/>
      <c r="AB21" s="1"/>
      <c r="AC21" s="90"/>
      <c r="AD21" s="85"/>
      <c r="AE21" s="1"/>
      <c r="AF21" s="1"/>
      <c r="AG21" s="1"/>
      <c r="AH21" s="111"/>
      <c r="AI21"/>
    </row>
    <row r="22" spans="1:35" ht="15" hidden="1" customHeight="1">
      <c r="A22" s="30">
        <f ca="1">IF(SUM(A$24:A$26)&gt;0, 1,0)</f>
        <v>0</v>
      </c>
      <c r="C22" s="67" t="s">
        <v>861</v>
      </c>
      <c r="D22" s="70"/>
      <c r="E22" s="70"/>
      <c r="F22" s="21"/>
      <c r="G22" s="68" t="s">
        <v>862</v>
      </c>
      <c r="H22" s="70"/>
      <c r="I22" s="70"/>
      <c r="W22" s="1"/>
      <c r="X22" s="1"/>
      <c r="Y22" s="1"/>
      <c r="Z22" s="1"/>
      <c r="AA22" s="1"/>
      <c r="AB22" s="1"/>
      <c r="AC22" s="90"/>
      <c r="AD22" s="85"/>
      <c r="AE22" s="1"/>
      <c r="AF22" s="1"/>
      <c r="AG22" s="1"/>
      <c r="AH22" s="111"/>
      <c r="AI22"/>
    </row>
    <row r="23" spans="1:35" ht="15" hidden="1" customHeight="1">
      <c r="A23" s="30">
        <f ca="1">IF(SUM(A$24:A$26)&gt;0, 1,0)</f>
        <v>0</v>
      </c>
      <c r="C23" s="119" t="s">
        <v>38</v>
      </c>
      <c r="D23" s="527" t="s">
        <v>863</v>
      </c>
      <c r="E23" s="527" t="s">
        <v>864</v>
      </c>
      <c r="F23" s="120"/>
      <c r="G23" s="527" t="s">
        <v>38</v>
      </c>
      <c r="H23" s="527" t="s">
        <v>863</v>
      </c>
      <c r="I23" s="527" t="s">
        <v>864</v>
      </c>
      <c r="W23" s="1"/>
      <c r="X23" s="1"/>
      <c r="Y23" s="1"/>
      <c r="Z23" s="1"/>
      <c r="AA23" s="1"/>
      <c r="AB23" s="1"/>
      <c r="AC23" s="90"/>
      <c r="AD23" s="85"/>
      <c r="AE23" s="1"/>
      <c r="AF23" s="1"/>
      <c r="AG23" s="1"/>
      <c r="AH23" s="111"/>
      <c r="AI23"/>
    </row>
    <row r="24" spans="1:35" ht="15" hidden="1" customHeight="1">
      <c r="A24" s="30">
        <f>IF((E24-I24)&gt;100,1,0)</f>
        <v>0</v>
      </c>
      <c r="B24" s="120"/>
      <c r="C24" s="63">
        <v>70</v>
      </c>
      <c r="D24" s="30" t="s">
        <v>865</v>
      </c>
      <c r="E24" s="30">
        <f>'eoy24'!E21</f>
        <v>0</v>
      </c>
      <c r="F24" s="527" t="s">
        <v>866</v>
      </c>
      <c r="G24" s="63">
        <v>4000</v>
      </c>
      <c r="H24" s="30" t="s">
        <v>867</v>
      </c>
      <c r="I24" s="30">
        <f>'eoy24'!G1036</f>
        <v>150000</v>
      </c>
      <c r="W24" s="1"/>
      <c r="X24" s="1"/>
      <c r="Y24" s="1"/>
      <c r="Z24" s="1"/>
      <c r="AA24" s="1"/>
      <c r="AB24" s="1"/>
      <c r="AC24" s="90"/>
      <c r="AD24" s="85"/>
      <c r="AE24" s="1"/>
      <c r="AF24" s="1"/>
      <c r="AG24" s="1"/>
      <c r="AH24" s="111"/>
      <c r="AI24"/>
    </row>
    <row r="25" spans="1:35" ht="15" hidden="1" customHeight="1">
      <c r="A25" s="30">
        <f>IF((E25-I25)&gt;100,1,0)</f>
        <v>0</v>
      </c>
      <c r="B25" s="120"/>
      <c r="C25" s="63" t="s">
        <v>868</v>
      </c>
      <c r="D25" s="30" t="s">
        <v>869</v>
      </c>
      <c r="E25" s="30">
        <f>'eoy24'!E304+'eoy24'!E490</f>
        <v>917525</v>
      </c>
      <c r="F25" s="527" t="s">
        <v>870</v>
      </c>
      <c r="G25" s="63" t="s">
        <v>868</v>
      </c>
      <c r="H25" s="30" t="s">
        <v>871</v>
      </c>
      <c r="I25" s="80">
        <f>('eoy24'!I1039+'eoy24'!I1077+'eoy24'!I1078+'eoy24'!I1080+'eoy24'!I1081+'eoy24'!I1082+'eoy24'!I1083)-('eoy24'!H1039+'eoy24'!H1077+'eoy24'!H1078+'eoy24'!H1080+'eoy24'!H1081+'eoy24'!H1082+'eoy24'!H1083)</f>
        <v>917525</v>
      </c>
      <c r="W25" s="1"/>
      <c r="X25" s="1"/>
      <c r="Y25" s="1"/>
      <c r="Z25" s="1"/>
      <c r="AA25" s="1"/>
      <c r="AB25" s="1"/>
      <c r="AC25" s="90"/>
      <c r="AD25" s="85"/>
      <c r="AE25" s="1"/>
      <c r="AF25" s="1"/>
      <c r="AG25" s="1"/>
      <c r="AH25" s="111"/>
      <c r="AI25"/>
    </row>
    <row r="26" spans="1:35" ht="15" hidden="1" customHeight="1">
      <c r="A26" s="30">
        <f ca="1">IF((E26-I26)&gt;100,1,0)</f>
        <v>0</v>
      </c>
      <c r="B26" s="120"/>
      <c r="C26" s="63">
        <v>2930</v>
      </c>
      <c r="D26" s="30" t="s">
        <v>872</v>
      </c>
      <c r="E26" s="30">
        <f ca="1">SUM('eoy24'!L589:'eoy24'!P589)</f>
        <v>0</v>
      </c>
      <c r="F26" s="527" t="s">
        <v>870</v>
      </c>
      <c r="G26" s="63">
        <v>4320</v>
      </c>
      <c r="H26" s="30" t="s">
        <v>873</v>
      </c>
      <c r="I26" s="30">
        <f>'eoy24'!I1088</f>
        <v>0</v>
      </c>
      <c r="W26" s="1"/>
      <c r="X26" s="1"/>
      <c r="Y26" s="1"/>
      <c r="Z26" s="1"/>
      <c r="AA26" s="3"/>
      <c r="AB26" s="1"/>
      <c r="AC26" s="90"/>
      <c r="AD26" s="85"/>
      <c r="AE26" s="1"/>
      <c r="AF26" s="1"/>
      <c r="AG26" s="1"/>
      <c r="AH26" s="111"/>
      <c r="AI26"/>
    </row>
    <row r="27" spans="1:35" ht="15" hidden="1" customHeight="1">
      <c r="A27" s="1">
        <f>IF(SUM(A$31:A$80)&gt;0,1,0)</f>
        <v>0</v>
      </c>
      <c r="B27" s="1"/>
      <c r="C27" s="41"/>
      <c r="D27" s="1"/>
      <c r="E27" s="1"/>
      <c r="F27" s="1"/>
      <c r="G27" s="1"/>
      <c r="H27" s="1"/>
      <c r="I27" s="1"/>
      <c r="W27" s="1"/>
      <c r="X27" s="1"/>
      <c r="Y27" s="1"/>
      <c r="Z27" s="1"/>
      <c r="AA27" s="3"/>
      <c r="AB27" s="1"/>
      <c r="AC27" s="90"/>
      <c r="AD27" s="85"/>
      <c r="AE27" s="1"/>
      <c r="AF27" s="1"/>
      <c r="AG27" s="1"/>
      <c r="AH27" s="111"/>
      <c r="AI27"/>
    </row>
    <row r="28" spans="1:35" ht="15" hidden="1" customHeight="1">
      <c r="A28" s="557">
        <f>IF(SUM(A$31:A$80)&gt;0,1,0)</f>
        <v>0</v>
      </c>
      <c r="B28" s="556" t="s">
        <v>874</v>
      </c>
      <c r="C28" s="698"/>
      <c r="D28" s="699"/>
      <c r="E28" s="700"/>
      <c r="F28" s="563"/>
      <c r="G28" s="701"/>
      <c r="H28" s="700"/>
      <c r="I28" s="557"/>
      <c r="W28" s="1"/>
      <c r="X28" s="1"/>
      <c r="Y28" s="1"/>
      <c r="Z28" s="1"/>
      <c r="AA28" s="1"/>
      <c r="AB28" s="1"/>
      <c r="AC28" s="90"/>
      <c r="AD28" s="85"/>
      <c r="AE28" s="1"/>
      <c r="AF28" s="1"/>
      <c r="AG28" s="1"/>
      <c r="AH28" s="111"/>
      <c r="AI28"/>
    </row>
    <row r="29" spans="1:35" ht="15" hidden="1" customHeight="1">
      <c r="A29" s="30">
        <f>IF(SUM(A$31:A$80)&gt;0,1,0)</f>
        <v>0</v>
      </c>
      <c r="C29" s="702" t="s">
        <v>875</v>
      </c>
      <c r="D29" s="216"/>
      <c r="E29" s="216"/>
      <c r="F29" s="215"/>
      <c r="G29" s="216" t="s">
        <v>876</v>
      </c>
      <c r="H29" s="216"/>
      <c r="I29" s="216"/>
      <c r="W29" s="1"/>
      <c r="X29" s="1"/>
      <c r="Y29" s="1"/>
      <c r="Z29" s="1"/>
      <c r="AA29" s="1"/>
      <c r="AB29" s="1"/>
      <c r="AC29" s="90"/>
      <c r="AD29" s="85"/>
      <c r="AE29" s="1"/>
      <c r="AF29" s="1"/>
      <c r="AG29" s="1"/>
      <c r="AH29" s="111"/>
      <c r="AI29"/>
    </row>
    <row r="30" spans="1:35" ht="15" hidden="1" customHeight="1">
      <c r="A30" s="30">
        <f>IF(SUM(A$31:A$80)&gt;0,1,0)</f>
        <v>0</v>
      </c>
      <c r="C30" s="703" t="s">
        <v>38</v>
      </c>
      <c r="D30" s="704" t="s">
        <v>863</v>
      </c>
      <c r="E30" s="704" t="s">
        <v>864</v>
      </c>
      <c r="F30" s="215"/>
      <c r="G30" s="704" t="s">
        <v>38</v>
      </c>
      <c r="H30" s="704" t="s">
        <v>863</v>
      </c>
      <c r="I30" s="704" t="s">
        <v>864</v>
      </c>
      <c r="W30" s="1"/>
      <c r="X30" s="1"/>
      <c r="Y30" s="1"/>
      <c r="Z30" s="1"/>
      <c r="AA30" s="1"/>
      <c r="AB30" s="1"/>
      <c r="AC30" s="90"/>
      <c r="AD30" s="85"/>
      <c r="AE30" s="1"/>
      <c r="AF30" s="1"/>
      <c r="AG30" s="1"/>
      <c r="AH30" s="111"/>
      <c r="AI30"/>
    </row>
    <row r="31" spans="1:35" ht="15.6" hidden="1">
      <c r="A31" s="30">
        <f t="shared" ref="A31:A64" si="0">IF(OR(AND(E31&gt;0,I31=0),AND(I31&gt;0,E31=0)),1,0)</f>
        <v>0</v>
      </c>
      <c r="C31" s="63">
        <v>4000</v>
      </c>
      <c r="D31" s="66" t="s">
        <v>877</v>
      </c>
      <c r="E31" s="30">
        <f>'eoy24'!E1036</f>
        <v>767525</v>
      </c>
      <c r="G31" s="63">
        <v>4000</v>
      </c>
      <c r="H31" s="66" t="s">
        <v>878</v>
      </c>
      <c r="I31" s="30">
        <f>'eoy24'!J1036</f>
        <v>950</v>
      </c>
      <c r="W31" s="1"/>
      <c r="X31" s="1"/>
      <c r="Y31" s="1"/>
      <c r="Z31" s="1"/>
      <c r="AA31" s="3"/>
      <c r="AB31" s="1"/>
      <c r="AC31" s="90"/>
      <c r="AD31" s="85"/>
      <c r="AE31" s="1"/>
      <c r="AF31" s="1"/>
      <c r="AG31" s="1"/>
      <c r="AH31" s="111"/>
      <c r="AI31"/>
    </row>
    <row r="32" spans="1:35" ht="15" hidden="1" customHeight="1">
      <c r="A32" s="30">
        <f t="shared" si="0"/>
        <v>0</v>
      </c>
      <c r="C32" s="63">
        <v>4000</v>
      </c>
      <c r="D32" s="66" t="s">
        <v>879</v>
      </c>
      <c r="E32" s="30">
        <f>'eoy24'!F1036</f>
        <v>0</v>
      </c>
      <c r="G32" s="63">
        <v>4000</v>
      </c>
      <c r="H32" s="66" t="s">
        <v>880</v>
      </c>
      <c r="I32" s="30">
        <f>'eoy24'!K1036</f>
        <v>0</v>
      </c>
      <c r="W32" s="1"/>
      <c r="X32" s="1"/>
      <c r="Y32" s="1"/>
      <c r="Z32" s="1"/>
      <c r="AA32" s="3"/>
      <c r="AB32" s="1"/>
      <c r="AC32" s="90"/>
      <c r="AD32" s="85"/>
      <c r="AE32" s="1"/>
      <c r="AF32" s="1"/>
      <c r="AG32" s="1"/>
      <c r="AH32" s="111"/>
      <c r="AI32"/>
    </row>
    <row r="33" spans="1:35" ht="15" hidden="1" customHeight="1">
      <c r="A33" s="30">
        <f t="shared" si="0"/>
        <v>0</v>
      </c>
      <c r="C33" s="63">
        <v>4000</v>
      </c>
      <c r="D33" s="66" t="s">
        <v>881</v>
      </c>
      <c r="E33" s="30">
        <f>'eoy24'!G1036</f>
        <v>150000</v>
      </c>
      <c r="G33" s="63">
        <v>4000</v>
      </c>
      <c r="H33" s="66" t="s">
        <v>882</v>
      </c>
      <c r="I33" s="30">
        <f>'eoy24'!L1036</f>
        <v>190</v>
      </c>
      <c r="W33" s="1"/>
      <c r="X33" s="1"/>
      <c r="Y33" s="1"/>
      <c r="Z33" s="1"/>
      <c r="AA33" s="1"/>
      <c r="AB33" s="1"/>
      <c r="AC33" s="90"/>
      <c r="AD33" s="85"/>
      <c r="AE33" s="1"/>
      <c r="AF33" s="1"/>
      <c r="AG33" s="1"/>
      <c r="AH33" s="111"/>
      <c r="AI33"/>
    </row>
    <row r="34" spans="1:35" ht="15" hidden="1" customHeight="1">
      <c r="A34" s="30">
        <f t="shared" si="0"/>
        <v>0</v>
      </c>
      <c r="C34" s="63">
        <v>4010</v>
      </c>
      <c r="D34" s="66" t="s">
        <v>877</v>
      </c>
      <c r="E34" s="30">
        <f>'eoy24'!E1037</f>
        <v>0</v>
      </c>
      <c r="G34" s="63">
        <v>4010</v>
      </c>
      <c r="H34" s="66" t="s">
        <v>878</v>
      </c>
      <c r="I34" s="30">
        <f>'eoy24'!J1037</f>
        <v>0</v>
      </c>
      <c r="W34" s="1"/>
      <c r="X34" s="1"/>
      <c r="Y34" s="1"/>
      <c r="Z34" s="1"/>
      <c r="AA34" s="1"/>
      <c r="AB34" s="1"/>
      <c r="AC34" s="90"/>
      <c r="AD34" s="85"/>
      <c r="AE34" s="1"/>
      <c r="AF34" s="1"/>
      <c r="AG34" s="1"/>
      <c r="AH34" s="111"/>
      <c r="AI34"/>
    </row>
    <row r="35" spans="1:35" ht="15" hidden="1" customHeight="1">
      <c r="A35" s="30">
        <f t="shared" si="0"/>
        <v>0</v>
      </c>
      <c r="C35" s="63">
        <v>4010</v>
      </c>
      <c r="D35" s="66" t="s">
        <v>879</v>
      </c>
      <c r="E35" s="30">
        <f>'eoy24'!F1037</f>
        <v>0</v>
      </c>
      <c r="G35" s="63">
        <v>4010</v>
      </c>
      <c r="H35" s="66" t="s">
        <v>880</v>
      </c>
      <c r="I35" s="30">
        <f>'eoy24'!K1037</f>
        <v>0</v>
      </c>
      <c r="W35" s="1"/>
      <c r="X35" s="1"/>
      <c r="Y35" s="1"/>
      <c r="Z35" s="1"/>
      <c r="AA35" s="3"/>
      <c r="AB35" s="1"/>
      <c r="AC35" s="90"/>
      <c r="AD35" s="85"/>
      <c r="AE35" s="1"/>
      <c r="AF35" s="1"/>
      <c r="AG35" s="1"/>
      <c r="AH35" s="111"/>
      <c r="AI35"/>
    </row>
    <row r="36" spans="1:35" ht="15" hidden="1" customHeight="1">
      <c r="A36" s="30">
        <f t="shared" si="0"/>
        <v>0</v>
      </c>
      <c r="C36" s="63">
        <v>4010</v>
      </c>
      <c r="D36" s="66" t="s">
        <v>881</v>
      </c>
      <c r="E36" s="30">
        <f>'eoy24'!G1037</f>
        <v>0</v>
      </c>
      <c r="G36" s="63">
        <v>4010</v>
      </c>
      <c r="H36" s="66" t="s">
        <v>882</v>
      </c>
      <c r="I36" s="30">
        <f>'eoy24'!L1037</f>
        <v>0</v>
      </c>
      <c r="W36" s="1"/>
      <c r="X36" s="1"/>
      <c r="Y36" s="1"/>
      <c r="Z36" s="1"/>
      <c r="AA36" s="1"/>
      <c r="AB36" s="1"/>
      <c r="AC36" s="90"/>
      <c r="AD36" s="85"/>
      <c r="AE36" s="1"/>
      <c r="AF36" s="1"/>
      <c r="AG36" s="1"/>
      <c r="AH36" s="111"/>
      <c r="AI36"/>
    </row>
    <row r="37" spans="1:35" ht="15" hidden="1" customHeight="1">
      <c r="A37" s="30">
        <f t="shared" si="0"/>
        <v>0</v>
      </c>
      <c r="C37" s="63">
        <v>4020</v>
      </c>
      <c r="D37" s="66" t="s">
        <v>877</v>
      </c>
      <c r="E37" s="30">
        <f>'eoy24'!E1038</f>
        <v>0</v>
      </c>
      <c r="G37" s="63">
        <v>4020</v>
      </c>
      <c r="H37" s="66" t="s">
        <v>878</v>
      </c>
      <c r="I37" s="30">
        <f>'eoy24'!J1038</f>
        <v>0</v>
      </c>
      <c r="W37" s="1"/>
      <c r="X37" s="1"/>
      <c r="Y37" s="1"/>
      <c r="Z37" s="1"/>
      <c r="AA37" s="1"/>
      <c r="AB37" s="1"/>
      <c r="AC37" s="90"/>
      <c r="AD37" s="85"/>
      <c r="AE37" s="1"/>
      <c r="AF37" s="1"/>
      <c r="AG37" s="1"/>
      <c r="AH37" s="111"/>
      <c r="AI37"/>
    </row>
    <row r="38" spans="1:35" ht="15.6" hidden="1">
      <c r="A38" s="30">
        <f t="shared" si="0"/>
        <v>0</v>
      </c>
      <c r="C38" s="63">
        <v>4020</v>
      </c>
      <c r="D38" s="66" t="s">
        <v>879</v>
      </c>
      <c r="E38" s="30">
        <f>'eoy24'!F1038</f>
        <v>0</v>
      </c>
      <c r="G38" s="63">
        <v>4020</v>
      </c>
      <c r="H38" s="66" t="s">
        <v>880</v>
      </c>
      <c r="I38" s="30">
        <f>'eoy24'!K1038</f>
        <v>0</v>
      </c>
      <c r="W38" s="1"/>
      <c r="X38" s="1"/>
      <c r="Y38" s="1"/>
      <c r="Z38" s="1"/>
      <c r="AA38" s="1"/>
      <c r="AB38" s="1"/>
      <c r="AC38" s="90"/>
      <c r="AD38" s="85"/>
      <c r="AE38" s="1"/>
      <c r="AF38" s="1"/>
      <c r="AG38" s="1"/>
      <c r="AH38" s="111"/>
      <c r="AI38"/>
    </row>
    <row r="39" spans="1:35" ht="15" hidden="1" customHeight="1">
      <c r="A39" s="30">
        <f t="shared" si="0"/>
        <v>0</v>
      </c>
      <c r="C39" s="63">
        <v>4020</v>
      </c>
      <c r="D39" s="66" t="s">
        <v>881</v>
      </c>
      <c r="E39" s="30">
        <f>'eoy24'!G1038</f>
        <v>0</v>
      </c>
      <c r="G39" s="63">
        <v>4020</v>
      </c>
      <c r="H39" s="66" t="s">
        <v>882</v>
      </c>
      <c r="I39" s="30">
        <f>'eoy24'!L1038</f>
        <v>0</v>
      </c>
      <c r="W39" s="1"/>
      <c r="X39" s="1"/>
      <c r="Y39" s="1"/>
      <c r="Z39" s="1"/>
      <c r="AA39" s="1"/>
      <c r="AB39" s="1"/>
      <c r="AC39" s="90"/>
      <c r="AD39" s="85"/>
      <c r="AE39" s="1"/>
      <c r="AF39" s="1"/>
      <c r="AG39" s="1"/>
      <c r="AH39" s="111"/>
      <c r="AI39"/>
    </row>
    <row r="40" spans="1:35" ht="15" hidden="1" customHeight="1">
      <c r="A40" s="30">
        <f t="shared" si="0"/>
        <v>0</v>
      </c>
      <c r="C40" s="63">
        <v>4070</v>
      </c>
      <c r="D40" s="66" t="s">
        <v>883</v>
      </c>
      <c r="E40" s="30">
        <f>'eoy24'!E1043</f>
        <v>0</v>
      </c>
      <c r="G40" s="63">
        <v>4070</v>
      </c>
      <c r="H40" s="66" t="s">
        <v>884</v>
      </c>
      <c r="I40" s="30">
        <f>'eoy24'!J1043</f>
        <v>0</v>
      </c>
      <c r="W40" s="1"/>
      <c r="X40" s="1"/>
      <c r="Y40" s="1"/>
      <c r="Z40" s="1"/>
      <c r="AA40" s="3"/>
      <c r="AB40" s="1"/>
      <c r="AC40" s="90"/>
      <c r="AD40" s="85"/>
      <c r="AE40" s="1"/>
      <c r="AF40" s="1"/>
      <c r="AG40" s="1"/>
      <c r="AH40" s="111"/>
      <c r="AI40"/>
    </row>
    <row r="41" spans="1:35" ht="15" hidden="1" customHeight="1">
      <c r="A41" s="30">
        <f t="shared" si="0"/>
        <v>0</v>
      </c>
      <c r="C41" s="63">
        <v>4070</v>
      </c>
      <c r="D41" s="66" t="s">
        <v>885</v>
      </c>
      <c r="E41" s="30">
        <f>'eoy24'!F1043</f>
        <v>15267</v>
      </c>
      <c r="G41" s="63">
        <v>4070</v>
      </c>
      <c r="H41" s="66" t="s">
        <v>886</v>
      </c>
      <c r="I41" s="30">
        <f>'eoy24'!K1043</f>
        <v>4</v>
      </c>
      <c r="W41" s="1"/>
      <c r="X41" s="1"/>
      <c r="Y41" s="1"/>
      <c r="Z41" s="1"/>
      <c r="AA41" s="3"/>
      <c r="AB41" s="1"/>
      <c r="AC41" s="90"/>
      <c r="AD41" s="85"/>
      <c r="AE41" s="1"/>
      <c r="AF41" s="1"/>
      <c r="AG41" s="1"/>
      <c r="AH41" s="111"/>
      <c r="AI41"/>
    </row>
    <row r="42" spans="1:35" ht="15" hidden="1" customHeight="1">
      <c r="A42" s="30">
        <f t="shared" si="0"/>
        <v>0</v>
      </c>
      <c r="C42" s="63">
        <v>4080</v>
      </c>
      <c r="D42" s="66" t="s">
        <v>883</v>
      </c>
      <c r="E42" s="30">
        <f>'eoy24'!E1044</f>
        <v>0</v>
      </c>
      <c r="G42" s="63">
        <v>4080</v>
      </c>
      <c r="H42" s="66" t="s">
        <v>884</v>
      </c>
      <c r="I42" s="30">
        <f>'eoy24'!J1044</f>
        <v>0</v>
      </c>
      <c r="W42" s="1"/>
      <c r="X42" s="1"/>
      <c r="Y42" s="1"/>
      <c r="Z42" s="1"/>
      <c r="AA42" s="1"/>
      <c r="AB42" s="1"/>
      <c r="AC42" s="90"/>
      <c r="AD42" s="85"/>
      <c r="AE42" s="1"/>
      <c r="AF42" s="1"/>
      <c r="AG42" s="1"/>
      <c r="AH42" s="111"/>
      <c r="AI42"/>
    </row>
    <row r="43" spans="1:35" ht="15" hidden="1" customHeight="1">
      <c r="A43" s="30">
        <f t="shared" si="0"/>
        <v>0</v>
      </c>
      <c r="C43" s="63">
        <v>4080</v>
      </c>
      <c r="D43" s="66" t="s">
        <v>885</v>
      </c>
      <c r="E43" s="30">
        <f>'eoy24'!F1044</f>
        <v>148593</v>
      </c>
      <c r="G43" s="63">
        <v>4080</v>
      </c>
      <c r="H43" s="66" t="s">
        <v>886</v>
      </c>
      <c r="I43" s="30">
        <f>'eoy24'!K1044</f>
        <v>27</v>
      </c>
      <c r="W43" s="1"/>
      <c r="X43" s="1"/>
      <c r="Y43" s="1"/>
      <c r="Z43" s="1"/>
      <c r="AA43" s="1"/>
      <c r="AB43" s="1"/>
      <c r="AC43" s="90"/>
      <c r="AD43" s="85"/>
      <c r="AE43" s="1"/>
      <c r="AF43" s="1"/>
      <c r="AG43" s="1"/>
      <c r="AH43" s="111"/>
      <c r="AI43"/>
    </row>
    <row r="44" spans="1:35" ht="15" hidden="1" customHeight="1">
      <c r="A44" s="30">
        <f t="shared" si="0"/>
        <v>0</v>
      </c>
      <c r="C44" s="63">
        <v>4110</v>
      </c>
      <c r="D44" s="66" t="s">
        <v>883</v>
      </c>
      <c r="E44" s="30">
        <f>'eoy24'!E1045</f>
        <v>0</v>
      </c>
      <c r="G44" s="63">
        <v>4110</v>
      </c>
      <c r="H44" s="66" t="s">
        <v>884</v>
      </c>
      <c r="I44" s="30">
        <f>'eoy24'!J1045</f>
        <v>0</v>
      </c>
      <c r="W44" s="1"/>
      <c r="X44" s="1"/>
      <c r="Y44" s="1"/>
      <c r="Z44" s="1"/>
      <c r="AA44" s="1"/>
      <c r="AB44" s="1"/>
      <c r="AC44" s="90"/>
      <c r="AD44" s="85"/>
      <c r="AE44" s="1"/>
      <c r="AF44" s="1"/>
      <c r="AG44" s="1"/>
      <c r="AH44" s="111"/>
      <c r="AI44"/>
    </row>
    <row r="45" spans="1:35" ht="15" hidden="1" customHeight="1">
      <c r="A45" s="30">
        <f t="shared" si="0"/>
        <v>0</v>
      </c>
      <c r="C45" s="63">
        <v>4110</v>
      </c>
      <c r="D45" s="66" t="s">
        <v>885</v>
      </c>
      <c r="E45" s="30">
        <f>'eoy24'!F1045</f>
        <v>92853</v>
      </c>
      <c r="G45" s="63">
        <v>4110</v>
      </c>
      <c r="H45" s="66" t="s">
        <v>886</v>
      </c>
      <c r="I45" s="30">
        <f>'eoy24'!K1045</f>
        <v>7</v>
      </c>
      <c r="W45" s="1"/>
      <c r="X45" s="1"/>
      <c r="Y45" s="1"/>
      <c r="Z45" s="1"/>
      <c r="AA45" s="1"/>
      <c r="AB45" s="1"/>
      <c r="AC45" s="90"/>
      <c r="AD45" s="85"/>
      <c r="AE45" s="1"/>
      <c r="AF45" s="1"/>
      <c r="AG45" s="1"/>
      <c r="AH45" s="111"/>
      <c r="AI45"/>
    </row>
    <row r="46" spans="1:35" ht="15" hidden="1" customHeight="1">
      <c r="A46" s="30">
        <f t="shared" si="0"/>
        <v>0</v>
      </c>
      <c r="C46" s="63">
        <v>4120</v>
      </c>
      <c r="D46" s="66" t="s">
        <v>883</v>
      </c>
      <c r="E46" s="30">
        <f>'eoy24'!E1046</f>
        <v>0</v>
      </c>
      <c r="G46" s="63">
        <v>4120</v>
      </c>
      <c r="H46" s="66" t="s">
        <v>884</v>
      </c>
      <c r="I46" s="30">
        <f>'eoy24'!J1046</f>
        <v>0</v>
      </c>
      <c r="W46" s="1"/>
      <c r="X46" s="1"/>
      <c r="Y46" s="1"/>
      <c r="Z46" s="1"/>
      <c r="AA46" s="1"/>
      <c r="AB46" s="1"/>
      <c r="AC46" s="90"/>
      <c r="AD46" s="85"/>
      <c r="AE46" s="1"/>
      <c r="AF46" s="1"/>
      <c r="AG46" s="1"/>
      <c r="AH46" s="111"/>
      <c r="AI46"/>
    </row>
    <row r="47" spans="1:35" ht="15" hidden="1" customHeight="1">
      <c r="A47" s="30">
        <f t="shared" si="0"/>
        <v>0</v>
      </c>
      <c r="C47" s="63">
        <v>4120</v>
      </c>
      <c r="D47" s="66" t="s">
        <v>885</v>
      </c>
      <c r="E47" s="30">
        <f>'eoy24'!F1046</f>
        <v>102181</v>
      </c>
      <c r="G47" s="63">
        <v>4120</v>
      </c>
      <c r="H47" s="66" t="s">
        <v>886</v>
      </c>
      <c r="I47" s="30">
        <f>'eoy24'!K1046</f>
        <v>4</v>
      </c>
      <c r="W47" s="1"/>
      <c r="X47" s="1"/>
      <c r="Y47" s="1"/>
      <c r="Z47" s="1"/>
      <c r="AA47" s="1"/>
      <c r="AB47" s="1"/>
      <c r="AC47" s="90"/>
      <c r="AD47" s="85"/>
      <c r="AE47" s="1"/>
      <c r="AF47" s="1"/>
      <c r="AG47" s="1"/>
      <c r="AH47" s="111"/>
      <c r="AI47"/>
    </row>
    <row r="48" spans="1:35" ht="15" hidden="1" customHeight="1">
      <c r="A48" s="30">
        <f t="shared" si="0"/>
        <v>0</v>
      </c>
      <c r="C48" s="63">
        <v>4130</v>
      </c>
      <c r="D48" s="66" t="s">
        <v>883</v>
      </c>
      <c r="E48" s="30">
        <f>'eoy24'!E1047</f>
        <v>0</v>
      </c>
      <c r="G48" s="63">
        <v>4130</v>
      </c>
      <c r="H48" s="66" t="s">
        <v>884</v>
      </c>
      <c r="I48" s="30">
        <f>'eoy24'!J1047</f>
        <v>0</v>
      </c>
      <c r="W48" s="1"/>
      <c r="X48" s="1"/>
      <c r="Y48" s="1"/>
      <c r="Z48" s="1"/>
      <c r="AA48" s="1"/>
      <c r="AB48" s="1"/>
      <c r="AC48" s="90"/>
      <c r="AD48" s="85"/>
      <c r="AE48" s="1"/>
      <c r="AF48" s="1"/>
      <c r="AG48" s="1"/>
      <c r="AH48" s="111"/>
      <c r="AI48"/>
    </row>
    <row r="49" spans="1:35" ht="15" hidden="1" customHeight="1">
      <c r="A49" s="30">
        <f t="shared" si="0"/>
        <v>0</v>
      </c>
      <c r="C49" s="63">
        <v>4130</v>
      </c>
      <c r="D49" s="66" t="s">
        <v>885</v>
      </c>
      <c r="E49" s="30">
        <f>'eoy24'!F1047</f>
        <v>8189</v>
      </c>
      <c r="G49" s="63">
        <v>4130</v>
      </c>
      <c r="H49" s="66" t="s">
        <v>886</v>
      </c>
      <c r="I49" s="30">
        <f>'eoy24'!K1047</f>
        <v>1</v>
      </c>
      <c r="W49" s="1"/>
      <c r="X49" s="1"/>
      <c r="Y49" s="1"/>
      <c r="Z49" s="1"/>
      <c r="AA49" s="1"/>
      <c r="AB49" s="1"/>
      <c r="AC49" s="90"/>
      <c r="AD49" s="85"/>
      <c r="AE49" s="1"/>
      <c r="AF49" s="1"/>
      <c r="AG49" s="1"/>
      <c r="AH49" s="111"/>
      <c r="AI49"/>
    </row>
    <row r="50" spans="1:35" ht="15" hidden="1" customHeight="1">
      <c r="A50" s="30">
        <f t="shared" si="0"/>
        <v>0</v>
      </c>
      <c r="C50" s="63">
        <v>4140</v>
      </c>
      <c r="D50" s="66" t="s">
        <v>883</v>
      </c>
      <c r="E50" s="30">
        <f>'eoy24'!E1048</f>
        <v>0</v>
      </c>
      <c r="G50" s="63">
        <v>4140</v>
      </c>
      <c r="H50" s="66" t="s">
        <v>884</v>
      </c>
      <c r="I50" s="30">
        <f>'eoy24'!J1048</f>
        <v>0</v>
      </c>
      <c r="W50" s="1"/>
      <c r="X50" s="1"/>
      <c r="Y50" s="1"/>
      <c r="Z50" s="1"/>
      <c r="AA50" s="1"/>
      <c r="AB50" s="1"/>
      <c r="AC50" s="90"/>
      <c r="AD50" s="85"/>
      <c r="AE50" s="1"/>
      <c r="AF50" s="1"/>
      <c r="AG50" s="1"/>
      <c r="AH50" s="111"/>
      <c r="AI50"/>
    </row>
    <row r="51" spans="1:35" ht="15" hidden="1" customHeight="1">
      <c r="A51" s="30">
        <f t="shared" si="0"/>
        <v>0</v>
      </c>
      <c r="C51" s="63">
        <v>4140</v>
      </c>
      <c r="D51" s="66" t="s">
        <v>885</v>
      </c>
      <c r="E51" s="30">
        <f>'eoy24'!F1048</f>
        <v>0</v>
      </c>
      <c r="G51" s="63">
        <v>4140</v>
      </c>
      <c r="H51" s="66" t="s">
        <v>886</v>
      </c>
      <c r="I51" s="30">
        <f>'eoy24'!K1048</f>
        <v>0</v>
      </c>
      <c r="W51" s="1"/>
      <c r="X51" s="1"/>
      <c r="Y51" s="1"/>
      <c r="Z51" s="1"/>
      <c r="AA51" s="1"/>
      <c r="AB51" s="1"/>
      <c r="AC51" s="90"/>
      <c r="AD51" s="85"/>
      <c r="AE51" s="1"/>
      <c r="AF51" s="1"/>
      <c r="AG51" s="1"/>
      <c r="AH51" s="111"/>
      <c r="AI51"/>
    </row>
    <row r="52" spans="1:35" ht="15" hidden="1" customHeight="1">
      <c r="A52" s="30">
        <f t="shared" si="0"/>
        <v>0</v>
      </c>
      <c r="C52" s="63">
        <v>4150</v>
      </c>
      <c r="D52" s="66" t="s">
        <v>883</v>
      </c>
      <c r="E52" s="30">
        <f>'eoy24'!E1049</f>
        <v>0</v>
      </c>
      <c r="G52" s="63">
        <v>4150</v>
      </c>
      <c r="H52" s="66" t="s">
        <v>884</v>
      </c>
      <c r="I52" s="30">
        <f>'eoy24'!J1049</f>
        <v>0</v>
      </c>
      <c r="W52" s="1"/>
      <c r="X52" s="1"/>
      <c r="Y52" s="1"/>
      <c r="Z52" s="1"/>
      <c r="AA52" s="1"/>
      <c r="AB52" s="1"/>
      <c r="AC52" s="90"/>
      <c r="AD52" s="85"/>
      <c r="AE52" s="1"/>
      <c r="AF52" s="1"/>
      <c r="AG52" s="1"/>
      <c r="AH52" s="111"/>
      <c r="AI52"/>
    </row>
    <row r="53" spans="1:35" ht="15" hidden="1" customHeight="1">
      <c r="A53" s="30">
        <f t="shared" si="0"/>
        <v>0</v>
      </c>
      <c r="C53" s="63">
        <v>4150</v>
      </c>
      <c r="D53" s="66" t="s">
        <v>885</v>
      </c>
      <c r="E53" s="30">
        <f>'eoy24'!F1049</f>
        <v>0</v>
      </c>
      <c r="G53" s="63">
        <v>4150</v>
      </c>
      <c r="H53" s="66" t="s">
        <v>886</v>
      </c>
      <c r="I53" s="30">
        <f>'eoy24'!K1049</f>
        <v>0</v>
      </c>
      <c r="W53" s="1"/>
      <c r="X53" s="1"/>
      <c r="Y53" s="1"/>
      <c r="Z53" s="1"/>
      <c r="AA53" s="1"/>
      <c r="AB53" s="1"/>
      <c r="AC53" s="90"/>
      <c r="AD53" s="85"/>
      <c r="AE53" s="1"/>
      <c r="AF53" s="1"/>
      <c r="AG53" s="1"/>
      <c r="AH53" s="111"/>
      <c r="AI53"/>
    </row>
    <row r="54" spans="1:35" ht="15" hidden="1" customHeight="1">
      <c r="A54" s="30">
        <f t="shared" si="0"/>
        <v>0</v>
      </c>
      <c r="C54" s="63">
        <v>4190</v>
      </c>
      <c r="D54" s="66" t="s">
        <v>877</v>
      </c>
      <c r="E54" s="30">
        <f>'eoy24'!E1058</f>
        <v>0</v>
      </c>
      <c r="G54" s="63">
        <v>4190</v>
      </c>
      <c r="H54" s="66" t="s">
        <v>878</v>
      </c>
      <c r="I54" s="30">
        <f>'eoy24'!J1058</f>
        <v>0</v>
      </c>
      <c r="W54" s="1"/>
      <c r="X54" s="1"/>
      <c r="Y54" s="1"/>
      <c r="Z54" s="1"/>
      <c r="AA54" s="1"/>
      <c r="AB54" s="1"/>
      <c r="AC54" s="90"/>
      <c r="AD54" s="85"/>
      <c r="AE54" s="1"/>
      <c r="AF54" s="1"/>
      <c r="AG54" s="1"/>
      <c r="AH54" s="111"/>
      <c r="AI54"/>
    </row>
    <row r="55" spans="1:35" ht="15" hidden="1" customHeight="1">
      <c r="A55" s="30">
        <f t="shared" si="0"/>
        <v>0</v>
      </c>
      <c r="C55" s="63">
        <v>4190</v>
      </c>
      <c r="D55" s="66" t="s">
        <v>879</v>
      </c>
      <c r="E55" s="30">
        <f>'eoy24'!F1058</f>
        <v>0</v>
      </c>
      <c r="G55" s="63">
        <v>4190</v>
      </c>
      <c r="H55" s="66" t="s">
        <v>880</v>
      </c>
      <c r="I55" s="30">
        <f>'eoy24'!K1058</f>
        <v>0</v>
      </c>
      <c r="W55" s="1"/>
      <c r="X55" s="1"/>
      <c r="Y55" s="1"/>
      <c r="Z55" s="1"/>
      <c r="AA55" s="1"/>
      <c r="AB55" s="1"/>
      <c r="AC55" s="90"/>
      <c r="AD55" s="85"/>
      <c r="AE55" s="1"/>
      <c r="AF55" s="1"/>
      <c r="AG55" s="1"/>
      <c r="AH55" s="111"/>
      <c r="AI55"/>
    </row>
    <row r="56" spans="1:35" ht="15" hidden="1" customHeight="1">
      <c r="A56" s="30">
        <f t="shared" si="0"/>
        <v>0</v>
      </c>
      <c r="C56" s="63">
        <v>4190</v>
      </c>
      <c r="D56" s="66" t="s">
        <v>881</v>
      </c>
      <c r="E56" s="30">
        <f>'eoy24'!G1058</f>
        <v>0</v>
      </c>
      <c r="G56" s="63">
        <v>4190</v>
      </c>
      <c r="H56" s="66" t="s">
        <v>882</v>
      </c>
      <c r="I56" s="30">
        <f>'eoy24'!L1058</f>
        <v>0</v>
      </c>
      <c r="W56" s="1"/>
      <c r="X56" s="1"/>
      <c r="Y56" s="1"/>
      <c r="Z56" s="1"/>
      <c r="AA56" s="1"/>
      <c r="AB56" s="1"/>
      <c r="AC56" s="90"/>
      <c r="AD56" s="85"/>
      <c r="AE56" s="1"/>
      <c r="AF56" s="1"/>
      <c r="AG56" s="1"/>
      <c r="AH56" s="111"/>
      <c r="AI56"/>
    </row>
    <row r="57" spans="1:35" ht="15" hidden="1" customHeight="1">
      <c r="A57" s="30">
        <f t="shared" si="0"/>
        <v>0</v>
      </c>
      <c r="C57" s="63">
        <v>4200</v>
      </c>
      <c r="D57" s="66" t="s">
        <v>877</v>
      </c>
      <c r="E57" s="30">
        <f>'eoy24'!E1059</f>
        <v>0</v>
      </c>
      <c r="G57" s="63">
        <v>4200</v>
      </c>
      <c r="H57" s="66" t="s">
        <v>878</v>
      </c>
      <c r="I57" s="30">
        <f>'eoy24'!J1059</f>
        <v>0</v>
      </c>
      <c r="W57" s="1"/>
      <c r="X57" s="1"/>
      <c r="Y57" s="1"/>
      <c r="Z57" s="1"/>
      <c r="AA57" s="1"/>
      <c r="AB57" s="1"/>
      <c r="AC57" s="90"/>
      <c r="AD57" s="85"/>
      <c r="AE57" s="1"/>
      <c r="AF57" s="1"/>
      <c r="AG57" s="1"/>
      <c r="AH57" s="111"/>
      <c r="AI57"/>
    </row>
    <row r="58" spans="1:35" ht="15" hidden="1" customHeight="1">
      <c r="A58" s="30">
        <f t="shared" si="0"/>
        <v>0</v>
      </c>
      <c r="C58" s="63">
        <v>4200</v>
      </c>
      <c r="D58" s="66" t="s">
        <v>879</v>
      </c>
      <c r="E58" s="30">
        <f>'eoy24'!F1059</f>
        <v>0</v>
      </c>
      <c r="G58" s="63">
        <v>4200</v>
      </c>
      <c r="H58" s="66" t="s">
        <v>880</v>
      </c>
      <c r="I58" s="30">
        <f>'eoy24'!K1059</f>
        <v>0</v>
      </c>
      <c r="W58" s="1"/>
      <c r="X58" s="1"/>
      <c r="Y58" s="1"/>
      <c r="Z58" s="1"/>
      <c r="AA58" s="1"/>
      <c r="AB58" s="1"/>
      <c r="AC58" s="90"/>
      <c r="AD58" s="85"/>
      <c r="AE58" s="1"/>
      <c r="AF58" s="1"/>
      <c r="AG58" s="1"/>
      <c r="AH58" s="111"/>
      <c r="AI58"/>
    </row>
    <row r="59" spans="1:35" ht="15" hidden="1" customHeight="1">
      <c r="A59" s="30">
        <f t="shared" si="0"/>
        <v>0</v>
      </c>
      <c r="C59" s="63">
        <v>4200</v>
      </c>
      <c r="D59" s="66" t="s">
        <v>881</v>
      </c>
      <c r="E59" s="30">
        <f>'eoy24'!G1059</f>
        <v>0</v>
      </c>
      <c r="G59" s="63">
        <v>4200</v>
      </c>
      <c r="H59" s="66" t="s">
        <v>882</v>
      </c>
      <c r="I59" s="30">
        <f>'eoy24'!L1059</f>
        <v>0</v>
      </c>
      <c r="W59" s="1"/>
      <c r="X59" s="1"/>
      <c r="Y59" s="1"/>
      <c r="Z59" s="1"/>
      <c r="AA59" s="3"/>
      <c r="AB59" s="1"/>
      <c r="AC59" s="90"/>
      <c r="AD59" s="85"/>
      <c r="AE59" s="1"/>
      <c r="AF59" s="1"/>
      <c r="AG59" s="1"/>
      <c r="AH59" s="111"/>
      <c r="AI59"/>
    </row>
    <row r="60" spans="1:35" ht="15" hidden="1" customHeight="1">
      <c r="A60" s="30">
        <f t="shared" si="0"/>
        <v>0</v>
      </c>
      <c r="C60" s="63">
        <v>4220</v>
      </c>
      <c r="D60" s="66" t="s">
        <v>877</v>
      </c>
      <c r="E60" s="30">
        <f>'eoy24'!E1067</f>
        <v>0</v>
      </c>
      <c r="G60" s="63">
        <v>4220</v>
      </c>
      <c r="H60" s="66" t="s">
        <v>878</v>
      </c>
      <c r="I60" s="30">
        <f>'eoy24'!J1067</f>
        <v>0</v>
      </c>
      <c r="W60" s="1"/>
      <c r="X60" s="1"/>
      <c r="Y60" s="1"/>
      <c r="Z60" s="1"/>
      <c r="AA60" s="1"/>
      <c r="AB60" s="1"/>
      <c r="AC60" s="90"/>
      <c r="AD60" s="85"/>
      <c r="AE60" s="1"/>
      <c r="AF60" s="1"/>
      <c r="AG60" s="1"/>
      <c r="AH60" s="111"/>
      <c r="AI60"/>
    </row>
    <row r="61" spans="1:35" ht="15" hidden="1" customHeight="1">
      <c r="A61" s="30">
        <f t="shared" si="0"/>
        <v>0</v>
      </c>
      <c r="C61" s="63">
        <v>4220</v>
      </c>
      <c r="D61" s="66" t="s">
        <v>879</v>
      </c>
      <c r="E61" s="30">
        <f>'eoy24'!F1067</f>
        <v>0</v>
      </c>
      <c r="G61" s="63">
        <v>4220</v>
      </c>
      <c r="H61" s="66" t="s">
        <v>880</v>
      </c>
      <c r="I61" s="30">
        <f>'eoy24'!K1067</f>
        <v>0</v>
      </c>
      <c r="W61" s="1"/>
      <c r="X61" s="1"/>
      <c r="Y61" s="1"/>
      <c r="Z61" s="1"/>
      <c r="AA61" s="3"/>
      <c r="AB61" s="1"/>
      <c r="AC61" s="90"/>
      <c r="AD61" s="85"/>
      <c r="AE61" s="1"/>
      <c r="AF61" s="1"/>
      <c r="AG61" s="1"/>
      <c r="AH61" s="111"/>
      <c r="AI61"/>
    </row>
    <row r="62" spans="1:35" ht="15" hidden="1" customHeight="1">
      <c r="A62" s="30">
        <f t="shared" si="0"/>
        <v>0</v>
      </c>
      <c r="C62" s="63">
        <v>4220</v>
      </c>
      <c r="D62" s="66" t="s">
        <v>881</v>
      </c>
      <c r="E62" s="30">
        <f>'eoy24'!G1067</f>
        <v>0</v>
      </c>
      <c r="G62" s="63">
        <v>4220</v>
      </c>
      <c r="H62" s="66" t="s">
        <v>882</v>
      </c>
      <c r="I62" s="30">
        <f>'eoy24'!L1067</f>
        <v>0</v>
      </c>
      <c r="W62" s="1"/>
      <c r="X62" s="1"/>
      <c r="Y62" s="1"/>
      <c r="Z62" s="1"/>
      <c r="AA62" s="1"/>
      <c r="AB62" s="1"/>
      <c r="AC62" s="90"/>
      <c r="AD62" s="85"/>
      <c r="AE62" s="1"/>
      <c r="AF62" s="1"/>
      <c r="AG62" s="1"/>
      <c r="AH62" s="111"/>
      <c r="AI62"/>
    </row>
    <row r="63" spans="1:35" ht="15" hidden="1" customHeight="1">
      <c r="A63" s="30">
        <f t="shared" si="0"/>
        <v>0</v>
      </c>
      <c r="C63" s="63">
        <v>4230</v>
      </c>
      <c r="D63" s="66" t="s">
        <v>877</v>
      </c>
      <c r="E63" s="30">
        <f>'eoy24'!E1068</f>
        <v>0</v>
      </c>
      <c r="G63" s="63">
        <v>4230</v>
      </c>
      <c r="H63" s="66" t="s">
        <v>878</v>
      </c>
      <c r="I63" s="30">
        <f>'eoy24'!J1068</f>
        <v>0</v>
      </c>
      <c r="W63" s="1"/>
      <c r="X63" s="1"/>
      <c r="Y63" s="1"/>
      <c r="Z63" s="1"/>
      <c r="AA63" s="3"/>
      <c r="AB63" s="1"/>
      <c r="AC63" s="90"/>
      <c r="AD63" s="85"/>
      <c r="AE63" s="1"/>
      <c r="AF63" s="1"/>
      <c r="AG63" s="1"/>
      <c r="AH63" s="111"/>
      <c r="AI63"/>
    </row>
    <row r="64" spans="1:35" ht="15" hidden="1" customHeight="1">
      <c r="A64" s="30">
        <f t="shared" si="0"/>
        <v>0</v>
      </c>
      <c r="C64" s="63">
        <v>4230</v>
      </c>
      <c r="D64" s="66" t="s">
        <v>879</v>
      </c>
      <c r="E64" s="30">
        <f>'eoy24'!F1068</f>
        <v>0</v>
      </c>
      <c r="G64" s="63">
        <v>4230</v>
      </c>
      <c r="H64" s="66" t="s">
        <v>880</v>
      </c>
      <c r="I64" s="30">
        <f>'eoy24'!K1068</f>
        <v>0</v>
      </c>
      <c r="W64" s="1"/>
      <c r="X64" s="1"/>
      <c r="Y64" s="1"/>
      <c r="Z64" s="1"/>
      <c r="AA64" s="3"/>
      <c r="AB64" s="1"/>
      <c r="AC64" s="90"/>
      <c r="AD64" s="85"/>
      <c r="AE64" s="1"/>
      <c r="AF64" s="1"/>
      <c r="AG64" s="1"/>
      <c r="AH64" s="111"/>
      <c r="AI64"/>
    </row>
    <row r="65" spans="1:35" ht="15" hidden="1" customHeight="1">
      <c r="A65" s="30">
        <f>IF(OR(AND(E65&gt;0,I65=0),AND(I65&gt;0,E65=0)),1,0)</f>
        <v>0</v>
      </c>
      <c r="C65" s="63">
        <v>4230</v>
      </c>
      <c r="D65" s="66" t="s">
        <v>881</v>
      </c>
      <c r="E65" s="30">
        <f>'eoy24'!G1068</f>
        <v>0</v>
      </c>
      <c r="G65" s="63">
        <v>4230</v>
      </c>
      <c r="H65" s="66" t="s">
        <v>882</v>
      </c>
      <c r="I65" s="30">
        <f>'eoy24'!L1068</f>
        <v>0</v>
      </c>
      <c r="W65" s="1"/>
      <c r="X65" s="1"/>
      <c r="Y65" s="1"/>
      <c r="Z65" s="1"/>
      <c r="AA65" s="1"/>
      <c r="AB65" s="1"/>
      <c r="AC65" s="90"/>
      <c r="AD65" s="85"/>
      <c r="AE65" s="1"/>
      <c r="AF65" s="1"/>
      <c r="AG65" s="1"/>
      <c r="AH65" s="111"/>
      <c r="AI65"/>
    </row>
    <row r="66" spans="1:35" ht="15" hidden="1" customHeight="1">
      <c r="A66" s="30">
        <f t="shared" ref="A66:A78" si="1">IF(OR(AND(E66&gt;0,I66=0),AND(I66&gt;0,E66=0)),1,0)</f>
        <v>0</v>
      </c>
      <c r="C66" s="63">
        <v>4250</v>
      </c>
      <c r="D66" s="66" t="s">
        <v>877</v>
      </c>
      <c r="E66" s="30">
        <f>'eoy24'!E1077</f>
        <v>0</v>
      </c>
      <c r="G66" s="63">
        <v>4250</v>
      </c>
      <c r="H66" s="66" t="s">
        <v>878</v>
      </c>
      <c r="I66" s="30">
        <f>'eoy24'!J1077</f>
        <v>0</v>
      </c>
      <c r="W66" s="1"/>
      <c r="X66" s="1"/>
      <c r="Y66" s="1"/>
      <c r="Z66" s="1"/>
      <c r="AA66" s="1"/>
      <c r="AB66" s="1"/>
      <c r="AC66" s="90"/>
      <c r="AD66" s="85"/>
      <c r="AE66" s="1"/>
      <c r="AF66" s="1"/>
      <c r="AG66" s="1"/>
      <c r="AH66" s="111"/>
      <c r="AI66"/>
    </row>
    <row r="67" spans="1:35" ht="15" hidden="1" customHeight="1">
      <c r="A67" s="30">
        <f t="shared" si="1"/>
        <v>0</v>
      </c>
      <c r="C67" s="63">
        <v>4250</v>
      </c>
      <c r="D67" s="66" t="s">
        <v>879</v>
      </c>
      <c r="E67" s="30">
        <f>'eoy24'!F1077</f>
        <v>0</v>
      </c>
      <c r="G67" s="63">
        <v>4250</v>
      </c>
      <c r="H67" s="66" t="s">
        <v>880</v>
      </c>
      <c r="I67" s="30">
        <f>'eoy24'!K1077</f>
        <v>0</v>
      </c>
      <c r="W67" s="1"/>
      <c r="X67" s="1"/>
      <c r="Y67" s="1"/>
      <c r="Z67" s="1"/>
      <c r="AA67" s="1"/>
      <c r="AB67" s="1"/>
      <c r="AC67" s="90"/>
      <c r="AD67" s="85"/>
      <c r="AE67" s="1"/>
      <c r="AF67" s="1"/>
      <c r="AG67" s="1"/>
      <c r="AH67" s="111"/>
      <c r="AI67"/>
    </row>
    <row r="68" spans="1:35" ht="15" hidden="1" customHeight="1">
      <c r="A68" s="30">
        <f t="shared" si="1"/>
        <v>0</v>
      </c>
      <c r="C68" s="63">
        <v>4260</v>
      </c>
      <c r="D68" s="66" t="s">
        <v>877</v>
      </c>
      <c r="E68" s="30">
        <f>'eoy24'!E1078</f>
        <v>0</v>
      </c>
      <c r="G68" s="63">
        <v>4260</v>
      </c>
      <c r="H68" s="66" t="s">
        <v>878</v>
      </c>
      <c r="I68" s="30">
        <f>'eoy24'!J1078</f>
        <v>0</v>
      </c>
      <c r="W68" s="1"/>
      <c r="X68" s="1"/>
      <c r="Y68" s="1"/>
      <c r="Z68" s="1"/>
      <c r="AA68" s="1"/>
      <c r="AB68" s="1"/>
      <c r="AC68" s="90"/>
      <c r="AD68" s="85"/>
      <c r="AE68" s="1"/>
      <c r="AF68" s="1"/>
      <c r="AG68" s="1"/>
      <c r="AH68" s="111"/>
      <c r="AI68"/>
    </row>
    <row r="69" spans="1:35" ht="15" hidden="1" customHeight="1">
      <c r="A69" s="30">
        <f t="shared" si="1"/>
        <v>0</v>
      </c>
      <c r="C69" s="63">
        <v>4260</v>
      </c>
      <c r="D69" s="66" t="s">
        <v>879</v>
      </c>
      <c r="E69" s="30">
        <f>'eoy24'!F1078</f>
        <v>0</v>
      </c>
      <c r="G69" s="63">
        <v>4260</v>
      </c>
      <c r="H69" s="66" t="s">
        <v>880</v>
      </c>
      <c r="I69" s="30">
        <f>'eoy24'!K1078</f>
        <v>0</v>
      </c>
      <c r="W69" s="1"/>
      <c r="X69" s="1"/>
      <c r="Y69" s="1"/>
      <c r="Z69" s="1"/>
      <c r="AA69" s="1"/>
      <c r="AB69" s="1"/>
      <c r="AC69" s="90"/>
      <c r="AD69" s="85"/>
      <c r="AE69" s="1"/>
      <c r="AF69" s="1"/>
      <c r="AG69" s="1"/>
      <c r="AH69" s="111"/>
      <c r="AI69"/>
    </row>
    <row r="70" spans="1:35" ht="15" hidden="1" customHeight="1">
      <c r="A70" s="30">
        <f t="shared" si="1"/>
        <v>0</v>
      </c>
      <c r="C70" s="63">
        <v>4260</v>
      </c>
      <c r="D70" s="66" t="s">
        <v>881</v>
      </c>
      <c r="E70" s="30">
        <f>'eoy24'!G1078</f>
        <v>0</v>
      </c>
      <c r="G70" s="63">
        <v>4260</v>
      </c>
      <c r="H70" s="66" t="s">
        <v>882</v>
      </c>
      <c r="I70" s="30">
        <f>'eoy24'!L1078</f>
        <v>0</v>
      </c>
      <c r="W70" s="1"/>
      <c r="X70" s="1"/>
      <c r="Y70" s="1"/>
      <c r="Z70" s="1"/>
      <c r="AA70" s="1"/>
      <c r="AB70" s="1"/>
      <c r="AC70" s="90"/>
      <c r="AD70" s="85"/>
      <c r="AE70" s="1"/>
      <c r="AF70" s="1"/>
      <c r="AG70" s="1"/>
      <c r="AH70" s="111"/>
      <c r="AI70"/>
    </row>
    <row r="71" spans="1:35" ht="15" hidden="1" customHeight="1">
      <c r="A71" s="30">
        <f t="shared" si="1"/>
        <v>0</v>
      </c>
      <c r="C71" s="63">
        <v>4270</v>
      </c>
      <c r="D71" s="66" t="s">
        <v>877</v>
      </c>
      <c r="E71" s="30">
        <f>'eoy24'!E1079</f>
        <v>0</v>
      </c>
      <c r="G71" s="63">
        <v>4270</v>
      </c>
      <c r="H71" s="66" t="s">
        <v>878</v>
      </c>
      <c r="I71" s="30">
        <f>'eoy24'!J1079</f>
        <v>0</v>
      </c>
      <c r="W71" s="1"/>
      <c r="X71" s="1"/>
      <c r="Y71" s="1"/>
      <c r="Z71" s="1"/>
      <c r="AA71" s="1"/>
      <c r="AB71" s="1"/>
      <c r="AC71" s="90"/>
      <c r="AD71" s="85"/>
      <c r="AE71" s="1"/>
      <c r="AF71" s="1"/>
      <c r="AG71" s="1"/>
      <c r="AH71" s="111"/>
      <c r="AI71"/>
    </row>
    <row r="72" spans="1:35" ht="15" hidden="1" customHeight="1">
      <c r="A72" s="30">
        <f t="shared" si="1"/>
        <v>0</v>
      </c>
      <c r="C72" s="63">
        <v>4270</v>
      </c>
      <c r="D72" s="66" t="s">
        <v>879</v>
      </c>
      <c r="E72" s="30">
        <f>'eoy24'!F1079</f>
        <v>0</v>
      </c>
      <c r="G72" s="63">
        <v>4270</v>
      </c>
      <c r="H72" s="66" t="s">
        <v>880</v>
      </c>
      <c r="I72" s="30">
        <f>'eoy24'!K1079</f>
        <v>0</v>
      </c>
      <c r="W72" s="1"/>
      <c r="X72" s="1"/>
      <c r="Y72" s="1"/>
      <c r="Z72" s="1"/>
      <c r="AA72" s="1"/>
      <c r="AB72" s="1"/>
      <c r="AC72" s="90"/>
      <c r="AD72" s="85"/>
      <c r="AE72" s="1"/>
      <c r="AF72" s="1"/>
      <c r="AG72" s="1"/>
      <c r="AH72" s="111"/>
      <c r="AI72"/>
    </row>
    <row r="73" spans="1:35" ht="15" hidden="1" customHeight="1">
      <c r="A73" s="30">
        <f t="shared" si="1"/>
        <v>0</v>
      </c>
      <c r="C73" s="63">
        <v>4270</v>
      </c>
      <c r="D73" s="66" t="s">
        <v>881</v>
      </c>
      <c r="E73" s="30">
        <f>'eoy24'!G1079</f>
        <v>0</v>
      </c>
      <c r="G73" s="63">
        <v>4270</v>
      </c>
      <c r="H73" s="66" t="s">
        <v>882</v>
      </c>
      <c r="I73" s="30">
        <f>'eoy24'!L1079</f>
        <v>0</v>
      </c>
      <c r="W73" s="1"/>
      <c r="X73" s="1"/>
      <c r="Y73" s="1"/>
      <c r="Z73" s="1"/>
      <c r="AA73" s="1"/>
      <c r="AB73" s="1"/>
      <c r="AC73" s="90"/>
      <c r="AD73" s="85"/>
      <c r="AE73" s="1"/>
      <c r="AF73" s="1"/>
      <c r="AG73" s="1"/>
      <c r="AH73" s="111"/>
      <c r="AI73"/>
    </row>
    <row r="74" spans="1:35" ht="15" hidden="1" customHeight="1">
      <c r="A74" s="30">
        <f t="shared" si="1"/>
        <v>0</v>
      </c>
      <c r="C74" s="63">
        <v>4280</v>
      </c>
      <c r="D74" s="66" t="s">
        <v>881</v>
      </c>
      <c r="E74" s="30">
        <f>'eoy24'!G1080</f>
        <v>0</v>
      </c>
      <c r="G74" s="63">
        <v>4280</v>
      </c>
      <c r="H74" s="66" t="s">
        <v>882</v>
      </c>
      <c r="I74" s="30">
        <f>'eoy24'!L1080</f>
        <v>0</v>
      </c>
      <c r="W74" s="1"/>
      <c r="X74" s="1"/>
      <c r="Y74" s="1"/>
      <c r="Z74" s="1"/>
      <c r="AA74" s="1"/>
      <c r="AB74" s="1"/>
      <c r="AC74" s="90"/>
      <c r="AD74" s="85"/>
      <c r="AE74" s="1"/>
      <c r="AF74" s="1"/>
      <c r="AG74" s="1"/>
      <c r="AH74" s="111"/>
      <c r="AI74"/>
    </row>
    <row r="75" spans="1:35" ht="15" hidden="1" customHeight="1">
      <c r="A75" s="30">
        <f t="shared" si="1"/>
        <v>0</v>
      </c>
      <c r="C75" s="63">
        <v>4283</v>
      </c>
      <c r="D75" s="66" t="s">
        <v>877</v>
      </c>
      <c r="E75" s="30">
        <f>'eoy24'!E1081</f>
        <v>0</v>
      </c>
      <c r="G75" s="63">
        <v>4283</v>
      </c>
      <c r="H75" s="66" t="s">
        <v>878</v>
      </c>
      <c r="I75" s="30">
        <f>'eoy24'!J1081</f>
        <v>0</v>
      </c>
      <c r="W75" s="1"/>
      <c r="X75" s="1"/>
      <c r="Y75" s="1"/>
      <c r="Z75" s="1"/>
      <c r="AA75" s="1"/>
      <c r="AB75" s="1"/>
      <c r="AC75" s="90"/>
      <c r="AD75" s="85"/>
      <c r="AE75" s="1"/>
      <c r="AF75" s="1"/>
      <c r="AG75" s="1"/>
      <c r="AH75" s="111"/>
      <c r="AI75"/>
    </row>
    <row r="76" spans="1:35" ht="15" hidden="1" customHeight="1">
      <c r="A76" s="30">
        <f t="shared" si="1"/>
        <v>0</v>
      </c>
      <c r="C76" s="63">
        <v>4283</v>
      </c>
      <c r="D76" s="66" t="s">
        <v>879</v>
      </c>
      <c r="E76" s="30">
        <f>'eoy24'!F1081</f>
        <v>0</v>
      </c>
      <c r="G76" s="63">
        <v>4283</v>
      </c>
      <c r="H76" s="66" t="s">
        <v>880</v>
      </c>
      <c r="I76" s="30">
        <f>'eoy24'!K1081</f>
        <v>0</v>
      </c>
      <c r="W76" s="1"/>
      <c r="X76" s="1"/>
      <c r="Y76" s="1"/>
      <c r="Z76" s="1"/>
      <c r="AA76" s="1"/>
      <c r="AB76" s="1"/>
      <c r="AC76" s="90"/>
      <c r="AD76" s="85"/>
      <c r="AE76" s="1"/>
      <c r="AF76" s="1"/>
      <c r="AG76" s="1"/>
      <c r="AH76" s="111"/>
      <c r="AI76"/>
    </row>
    <row r="77" spans="1:35" ht="15" hidden="1" customHeight="1">
      <c r="A77" s="30">
        <f t="shared" si="1"/>
        <v>0</v>
      </c>
      <c r="C77" s="63">
        <v>4285</v>
      </c>
      <c r="D77" s="66" t="s">
        <v>877</v>
      </c>
      <c r="E77" s="30">
        <f>'eoy24'!E1082</f>
        <v>0</v>
      </c>
      <c r="G77" s="63">
        <v>4285</v>
      </c>
      <c r="H77" s="66" t="s">
        <v>878</v>
      </c>
      <c r="I77" s="30">
        <f>'eoy24'!J1082</f>
        <v>0</v>
      </c>
      <c r="W77" s="1"/>
      <c r="X77" s="1"/>
      <c r="Y77" s="1"/>
      <c r="Z77" s="1"/>
      <c r="AA77" s="1"/>
      <c r="AB77" s="1"/>
      <c r="AC77" s="90"/>
      <c r="AD77" s="85"/>
      <c r="AE77" s="1"/>
      <c r="AF77" s="1"/>
      <c r="AG77" s="1"/>
      <c r="AH77" s="111"/>
      <c r="AI77"/>
    </row>
    <row r="78" spans="1:35" ht="15" hidden="1" customHeight="1">
      <c r="A78" s="30">
        <f t="shared" si="1"/>
        <v>0</v>
      </c>
      <c r="C78" s="63">
        <v>4285</v>
      </c>
      <c r="D78" s="66" t="s">
        <v>879</v>
      </c>
      <c r="E78" s="30">
        <f>'eoy24'!F1082</f>
        <v>0</v>
      </c>
      <c r="G78" s="63">
        <v>4285</v>
      </c>
      <c r="H78" s="66" t="s">
        <v>880</v>
      </c>
      <c r="I78" s="30">
        <f>'eoy24'!K1082</f>
        <v>0</v>
      </c>
      <c r="W78" s="1"/>
      <c r="X78" s="1"/>
      <c r="Y78" s="1"/>
      <c r="Z78" s="1"/>
      <c r="AA78" s="1"/>
      <c r="AB78" s="1"/>
      <c r="AC78" s="90"/>
      <c r="AD78" s="85"/>
      <c r="AE78" s="1"/>
      <c r="AF78" s="1"/>
      <c r="AG78" s="1"/>
      <c r="AH78" s="111"/>
      <c r="AI78"/>
    </row>
    <row r="79" spans="1:35" ht="15" hidden="1" customHeight="1">
      <c r="A79" s="30">
        <f>IF(OR(AND(E79&gt;0,I79=0),AND(I79&gt;0,E79=0)),1,0)</f>
        <v>0</v>
      </c>
      <c r="C79" s="63">
        <v>4286</v>
      </c>
      <c r="D79" s="66" t="s">
        <v>877</v>
      </c>
      <c r="E79" s="30">
        <f>'eoy24'!E1083</f>
        <v>0</v>
      </c>
      <c r="G79" s="63">
        <v>4286</v>
      </c>
      <c r="H79" s="66" t="s">
        <v>878</v>
      </c>
      <c r="I79" s="30">
        <f>'eoy24'!J1083</f>
        <v>0</v>
      </c>
      <c r="W79" s="1"/>
      <c r="X79" s="1"/>
      <c r="Y79" s="1"/>
      <c r="Z79" s="1"/>
      <c r="AA79" s="1"/>
      <c r="AB79" s="1"/>
      <c r="AC79" s="90"/>
      <c r="AD79" s="85"/>
      <c r="AE79" s="1"/>
      <c r="AF79" s="1"/>
      <c r="AG79" s="1"/>
      <c r="AH79" s="111"/>
      <c r="AI79"/>
    </row>
    <row r="80" spans="1:35" ht="15" hidden="1" customHeight="1">
      <c r="A80" s="30">
        <f>IF(OR(AND(E80&gt;0,I80=0),AND(I80&gt;0,E80=0)),1,0)</f>
        <v>0</v>
      </c>
      <c r="C80" s="63">
        <v>4286</v>
      </c>
      <c r="D80" s="66" t="s">
        <v>879</v>
      </c>
      <c r="E80" s="30">
        <f>'eoy24'!F1083</f>
        <v>0</v>
      </c>
      <c r="G80" s="63">
        <v>4286</v>
      </c>
      <c r="H80" s="66" t="s">
        <v>880</v>
      </c>
      <c r="I80" s="30">
        <f>'eoy24'!K1083</f>
        <v>0</v>
      </c>
      <c r="W80" s="1"/>
      <c r="X80" s="1"/>
      <c r="Y80" s="1"/>
      <c r="Z80" s="1"/>
      <c r="AA80" s="1"/>
      <c r="AB80" s="1"/>
      <c r="AC80" s="90"/>
      <c r="AD80" s="85"/>
      <c r="AE80" s="1"/>
      <c r="AF80" s="1"/>
      <c r="AG80" s="1"/>
      <c r="AH80" s="111"/>
      <c r="AI80"/>
    </row>
    <row r="81" spans="1:35" ht="15" hidden="1" customHeight="1">
      <c r="A81" s="1">
        <f>IF((A$85+A$88)&gt;0,1,0)</f>
        <v>0</v>
      </c>
      <c r="B81" s="1"/>
      <c r="C81" s="41"/>
      <c r="D81" s="1"/>
      <c r="E81" s="1"/>
      <c r="F81" s="1"/>
      <c r="G81" s="1"/>
      <c r="H81" s="1"/>
      <c r="I81" s="1"/>
      <c r="W81" s="1"/>
      <c r="X81" s="1"/>
      <c r="Y81" s="1"/>
      <c r="Z81" s="1"/>
      <c r="AA81" s="1"/>
      <c r="AB81" s="1"/>
      <c r="AC81" s="90"/>
      <c r="AD81" s="85"/>
      <c r="AE81" s="1"/>
      <c r="AF81" s="1"/>
      <c r="AG81" s="1"/>
      <c r="AH81" s="111"/>
      <c r="AI81"/>
    </row>
    <row r="82" spans="1:35" ht="15" hidden="1" customHeight="1">
      <c r="A82" s="557">
        <f>IF((A$85+A$88)&gt;0,1,0)</f>
        <v>0</v>
      </c>
      <c r="B82" s="556" t="s">
        <v>887</v>
      </c>
      <c r="C82" s="559"/>
      <c r="D82" s="557"/>
      <c r="E82" s="557"/>
      <c r="F82" s="557"/>
      <c r="G82" s="557"/>
      <c r="H82" s="557"/>
      <c r="I82" s="557"/>
      <c r="W82" s="1"/>
      <c r="X82" s="1"/>
      <c r="Y82" s="1"/>
      <c r="Z82" s="1"/>
      <c r="AA82" s="1"/>
      <c r="AB82" s="1"/>
      <c r="AC82" s="90"/>
      <c r="AD82" s="85"/>
      <c r="AE82" s="1"/>
      <c r="AF82" s="1"/>
      <c r="AG82" s="1"/>
      <c r="AH82" s="111"/>
      <c r="AI82"/>
    </row>
    <row r="83" spans="1:35" ht="15" hidden="1" customHeight="1">
      <c r="A83" s="30">
        <f>IF(A85=1,1,0)</f>
        <v>0</v>
      </c>
      <c r="C83" s="69" t="s">
        <v>888</v>
      </c>
      <c r="D83" s="70"/>
      <c r="E83" s="70"/>
      <c r="F83" s="21"/>
      <c r="G83" s="71"/>
      <c r="H83" s="71"/>
      <c r="I83" s="71"/>
      <c r="W83" s="1"/>
      <c r="X83" s="1"/>
      <c r="Y83" s="1"/>
      <c r="Z83" s="1"/>
      <c r="AA83" s="1"/>
      <c r="AB83" s="1"/>
      <c r="AC83" s="90"/>
      <c r="AD83" s="85"/>
      <c r="AE83" s="1"/>
      <c r="AF83" s="1"/>
      <c r="AG83" s="1"/>
      <c r="AH83" s="111"/>
      <c r="AI83"/>
    </row>
    <row r="84" spans="1:35" ht="15" hidden="1" customHeight="1">
      <c r="A84" s="30">
        <f>IF(A$85=1,1,0)</f>
        <v>0</v>
      </c>
      <c r="C84" s="63" t="s">
        <v>38</v>
      </c>
      <c r="D84" s="21" t="s">
        <v>863</v>
      </c>
      <c r="E84" s="21" t="s">
        <v>864</v>
      </c>
      <c r="G84" s="21"/>
      <c r="H84" s="21"/>
      <c r="I84" s="21"/>
      <c r="W84" s="1"/>
      <c r="X84" s="1"/>
      <c r="Y84" s="1"/>
      <c r="Z84" s="1"/>
      <c r="AA84" s="1"/>
      <c r="AB84" s="1"/>
      <c r="AC84" s="90"/>
      <c r="AD84" s="85"/>
      <c r="AE84" s="1"/>
      <c r="AF84" s="1"/>
      <c r="AG84" s="1"/>
      <c r="AH84" s="111"/>
      <c r="AI84"/>
    </row>
    <row r="85" spans="1:35" ht="15" hidden="1" customHeight="1">
      <c r="A85" s="120">
        <f>IF(AND(VLOOKUP(VALUE('eoy24'!C7),code436,5)="yes",E85=0),1,0)</f>
        <v>0</v>
      </c>
      <c r="B85" s="120"/>
      <c r="C85" s="119">
        <v>2270</v>
      </c>
      <c r="D85" s="527">
        <v>6</v>
      </c>
      <c r="E85" s="527">
        <f>'eoy24'!I536</f>
        <v>1181390.18</v>
      </c>
      <c r="F85" s="527"/>
      <c r="G85" s="119"/>
      <c r="H85" s="527"/>
      <c r="I85" s="527"/>
      <c r="W85" s="1"/>
      <c r="X85" s="1"/>
      <c r="Y85" s="1"/>
      <c r="Z85" s="1"/>
      <c r="AA85" s="1"/>
      <c r="AB85" s="1"/>
      <c r="AC85" s="90"/>
      <c r="AD85" s="85"/>
      <c r="AE85" s="1"/>
      <c r="AF85" s="1"/>
      <c r="AG85" s="1"/>
      <c r="AH85" s="111"/>
      <c r="AI85"/>
    </row>
    <row r="86" spans="1:35" ht="15" hidden="1" customHeight="1">
      <c r="A86" s="30">
        <f>IF(A88=1,1,0)</f>
        <v>0</v>
      </c>
      <c r="C86" s="69" t="s">
        <v>889</v>
      </c>
      <c r="D86" s="70"/>
      <c r="E86" s="70"/>
      <c r="F86" s="21"/>
      <c r="G86" s="61"/>
      <c r="W86" s="1"/>
      <c r="X86" s="1"/>
      <c r="Y86" s="1"/>
      <c r="Z86" s="1"/>
      <c r="AA86" s="1"/>
      <c r="AB86" s="1"/>
      <c r="AC86" s="90"/>
      <c r="AD86" s="85"/>
      <c r="AE86" s="1"/>
      <c r="AF86" s="1"/>
      <c r="AG86" s="1"/>
      <c r="AH86" s="111"/>
      <c r="AI86"/>
    </row>
    <row r="87" spans="1:35" ht="15" hidden="1" customHeight="1">
      <c r="A87" s="30">
        <f>IF(A88=1,1,0)</f>
        <v>0</v>
      </c>
      <c r="C87" s="63" t="s">
        <v>38</v>
      </c>
      <c r="D87" s="21" t="s">
        <v>863</v>
      </c>
      <c r="E87" s="21" t="s">
        <v>864</v>
      </c>
      <c r="F87" s="21"/>
      <c r="G87" s="61"/>
      <c r="W87" s="1"/>
      <c r="X87" s="1"/>
      <c r="Y87" s="1"/>
      <c r="Z87" s="1"/>
      <c r="AA87" s="1"/>
      <c r="AB87" s="1"/>
      <c r="AC87" s="90"/>
      <c r="AD87" s="85"/>
      <c r="AE87" s="1"/>
      <c r="AF87" s="1"/>
      <c r="AG87" s="1"/>
      <c r="AH87" s="111"/>
      <c r="AI87"/>
    </row>
    <row r="88" spans="1:35" ht="15" hidden="1" customHeight="1">
      <c r="A88" s="120">
        <f>IF(AND(VLOOKUP(VALUE('eoy24'!C7),code436,5)="yes",E88=0),1,0)</f>
        <v>0</v>
      </c>
      <c r="C88" s="119">
        <v>7680</v>
      </c>
      <c r="D88" s="527">
        <v>6</v>
      </c>
      <c r="E88" s="527">
        <f>'eoy24'!I1175</f>
        <v>1225646</v>
      </c>
      <c r="F88" s="21"/>
      <c r="G88" s="61"/>
      <c r="W88" s="1"/>
      <c r="X88" s="1"/>
      <c r="Y88" s="1"/>
      <c r="Z88" s="1"/>
      <c r="AA88" s="1"/>
      <c r="AB88" s="1"/>
      <c r="AC88" s="90"/>
      <c r="AD88" s="85"/>
      <c r="AE88" s="1"/>
      <c r="AF88" s="1"/>
      <c r="AG88" s="1"/>
      <c r="AH88" s="111"/>
      <c r="AI88"/>
    </row>
    <row r="89" spans="1:35" ht="15" hidden="1" customHeight="1">
      <c r="A89" s="100">
        <f ca="1">IF((A176+A262+A348+A434+A520+A606+A697+A755)&gt;0,1,0)</f>
        <v>0</v>
      </c>
      <c r="B89" s="1"/>
      <c r="C89" s="41"/>
      <c r="D89" s="1"/>
      <c r="E89" s="1"/>
      <c r="F89" s="1"/>
      <c r="G89" s="1"/>
      <c r="H89" s="1"/>
      <c r="I89" s="1"/>
      <c r="W89" s="1"/>
      <c r="X89" s="1"/>
      <c r="Y89" s="1"/>
      <c r="Z89" s="1"/>
      <c r="AA89" s="1"/>
      <c r="AB89" s="1"/>
      <c r="AC89" s="90"/>
      <c r="AD89" s="85"/>
      <c r="AE89" s="1"/>
      <c r="AF89" s="1"/>
      <c r="AG89" s="1"/>
      <c r="AH89" s="111"/>
      <c r="AI89"/>
    </row>
    <row r="90" spans="1:35" ht="32.25" hidden="1" customHeight="1">
      <c r="A90" s="560">
        <f ca="1">IF((A176+A262+A348+A434+A520+A606+A697+A755)&gt;0,1,0)</f>
        <v>0</v>
      </c>
      <c r="B90" s="556" t="s">
        <v>890</v>
      </c>
      <c r="C90" s="698"/>
      <c r="D90" s="699"/>
      <c r="E90" s="700"/>
      <c r="F90" s="563"/>
      <c r="G90" s="701"/>
      <c r="H90" s="700"/>
      <c r="I90" s="705"/>
      <c r="W90" s="1"/>
      <c r="X90" s="1"/>
      <c r="Y90" s="1"/>
      <c r="Z90" s="1"/>
      <c r="AA90" s="1"/>
      <c r="AB90" s="1"/>
      <c r="AC90" s="90"/>
      <c r="AD90" s="85"/>
      <c r="AE90" s="1"/>
      <c r="AF90" s="1"/>
      <c r="AG90" s="1"/>
      <c r="AH90" s="111"/>
      <c r="AI90"/>
    </row>
    <row r="91" spans="1:35" ht="32.25" hidden="1" customHeight="1">
      <c r="A91" s="30">
        <f ca="1">IF(A$176=1,1,0)</f>
        <v>0</v>
      </c>
      <c r="C91" s="702" t="s">
        <v>891</v>
      </c>
      <c r="D91" s="216"/>
      <c r="E91" s="216"/>
      <c r="F91" s="527"/>
      <c r="G91" s="216" t="s">
        <v>892</v>
      </c>
      <c r="H91" s="216"/>
      <c r="I91" s="216"/>
      <c r="W91" s="1"/>
      <c r="X91" s="1"/>
      <c r="Y91" s="1"/>
      <c r="Z91" s="1"/>
      <c r="AA91" s="1"/>
      <c r="AB91" s="1"/>
      <c r="AC91" s="90"/>
      <c r="AD91" s="85"/>
      <c r="AE91" s="1"/>
      <c r="AF91" s="1"/>
      <c r="AG91" s="1"/>
      <c r="AH91" s="111"/>
      <c r="AI91"/>
    </row>
    <row r="92" spans="1:35" ht="32.25" hidden="1" customHeight="1">
      <c r="A92" s="30">
        <f ca="1">IF(A$176=1,1,0)</f>
        <v>0</v>
      </c>
      <c r="B92" s="72"/>
      <c r="C92" s="122" t="s">
        <v>893</v>
      </c>
      <c r="D92" s="706"/>
      <c r="E92" s="706"/>
      <c r="F92" s="215"/>
      <c r="G92" s="706" t="s">
        <v>894</v>
      </c>
      <c r="H92" s="706"/>
      <c r="I92" s="706"/>
      <c r="W92" s="1"/>
      <c r="X92" s="1"/>
      <c r="Y92" s="1"/>
      <c r="Z92" s="1"/>
      <c r="AA92" s="1"/>
      <c r="AB92" s="1"/>
      <c r="AC92" s="90"/>
      <c r="AD92" s="85"/>
      <c r="AE92" s="1"/>
      <c r="AF92" s="1"/>
      <c r="AG92" s="1"/>
      <c r="AH92" s="111"/>
      <c r="AI92"/>
    </row>
    <row r="93" spans="1:35" ht="32.25" hidden="1" customHeight="1">
      <c r="A93" s="30">
        <f ca="1">IF(A$176=1,1,0)</f>
        <v>0</v>
      </c>
      <c r="B93" s="72"/>
      <c r="C93" s="703" t="s">
        <v>38</v>
      </c>
      <c r="D93" s="704" t="s">
        <v>895</v>
      </c>
      <c r="E93" s="704" t="s">
        <v>864</v>
      </c>
      <c r="F93" s="215"/>
      <c r="G93" s="704" t="s">
        <v>38</v>
      </c>
      <c r="H93" s="704" t="s">
        <v>863</v>
      </c>
      <c r="I93" s="704" t="s">
        <v>864</v>
      </c>
      <c r="W93" s="1"/>
      <c r="X93" s="1"/>
      <c r="Y93" s="1"/>
      <c r="Z93" s="1"/>
      <c r="AA93" s="1"/>
      <c r="AB93" s="1"/>
      <c r="AC93" s="90"/>
      <c r="AD93" s="85"/>
      <c r="AE93" s="1"/>
      <c r="AF93" s="1"/>
      <c r="AG93" s="1"/>
      <c r="AH93" s="111"/>
      <c r="AI93"/>
    </row>
    <row r="94" spans="1:35" ht="15" hidden="1" customHeight="1">
      <c r="A94" s="30">
        <f t="shared" ref="A94:A127" ca="1" si="2">IF(AND(E94&gt;0,E$176=1),1,0)</f>
        <v>0</v>
      </c>
      <c r="C94" s="63">
        <v>2801</v>
      </c>
      <c r="D94" s="30" t="s">
        <v>83</v>
      </c>
      <c r="E94" s="30">
        <f>SUM('eoy24'!E547:G547)</f>
        <v>0</v>
      </c>
      <c r="G94" s="61"/>
      <c r="R94" s="61"/>
      <c r="W94" s="1"/>
      <c r="X94" s="1"/>
      <c r="Y94" s="1"/>
      <c r="Z94" s="1"/>
      <c r="AA94" s="1"/>
      <c r="AB94" s="1"/>
      <c r="AC94" s="90"/>
      <c r="AD94" s="85"/>
      <c r="AE94" s="1"/>
      <c r="AF94" s="1"/>
      <c r="AG94" s="1"/>
      <c r="AH94" s="111"/>
      <c r="AI94"/>
    </row>
    <row r="95" spans="1:35" ht="15" hidden="1" customHeight="1">
      <c r="A95" s="30">
        <f t="shared" ca="1" si="2"/>
        <v>0</v>
      </c>
      <c r="C95" s="63">
        <v>2802</v>
      </c>
      <c r="D95" s="30" t="s">
        <v>90</v>
      </c>
      <c r="E95" s="30">
        <f>SUM('eoy24'!E548:G548)</f>
        <v>0</v>
      </c>
      <c r="G95" s="61"/>
      <c r="R95" s="61"/>
      <c r="W95" s="1"/>
      <c r="X95" s="1"/>
      <c r="Y95" s="1"/>
      <c r="Z95" s="1"/>
      <c r="AA95" s="1"/>
      <c r="AB95" s="1"/>
      <c r="AC95" s="90"/>
      <c r="AD95" s="85"/>
      <c r="AE95" s="1"/>
      <c r="AF95" s="1"/>
      <c r="AG95" s="1"/>
      <c r="AH95" s="111"/>
      <c r="AI95"/>
    </row>
    <row r="96" spans="1:35" ht="15" hidden="1" customHeight="1">
      <c r="A96" s="30">
        <f t="shared" ca="1" si="2"/>
        <v>0</v>
      </c>
      <c r="C96" s="63">
        <v>2803</v>
      </c>
      <c r="D96" s="30" t="s">
        <v>92</v>
      </c>
      <c r="E96" s="30">
        <f>SUM('eoy24'!E549:G549)</f>
        <v>0</v>
      </c>
      <c r="G96" s="61"/>
      <c r="R96" s="61"/>
      <c r="W96" s="1"/>
      <c r="X96" s="1"/>
      <c r="Y96" s="1"/>
      <c r="Z96" s="1"/>
      <c r="AA96" s="1"/>
      <c r="AB96" s="1"/>
      <c r="AC96" s="90"/>
      <c r="AD96" s="85"/>
      <c r="AE96" s="1"/>
      <c r="AF96" s="1"/>
      <c r="AG96" s="1"/>
      <c r="AH96" s="111"/>
      <c r="AI96"/>
    </row>
    <row r="97" spans="1:35" ht="15" hidden="1" customHeight="1">
      <c r="A97" s="30">
        <f t="shared" ca="1" si="2"/>
        <v>0</v>
      </c>
      <c r="C97" s="63">
        <v>2804</v>
      </c>
      <c r="D97" s="30" t="s">
        <v>93</v>
      </c>
      <c r="E97" s="30">
        <f>SUM('eoy24'!E550:G550)</f>
        <v>0</v>
      </c>
      <c r="G97" s="61"/>
      <c r="R97" s="61"/>
      <c r="W97" s="1"/>
      <c r="X97" s="1"/>
      <c r="Y97" s="1"/>
      <c r="Z97" s="1"/>
      <c r="AA97" s="1"/>
      <c r="AB97" s="1"/>
      <c r="AC97" s="90"/>
      <c r="AD97" s="85"/>
      <c r="AE97" s="1"/>
      <c r="AF97" s="1"/>
      <c r="AG97" s="1"/>
      <c r="AH97" s="111"/>
      <c r="AI97"/>
    </row>
    <row r="98" spans="1:35" ht="15" hidden="1" customHeight="1">
      <c r="A98" s="30">
        <f t="shared" ca="1" si="2"/>
        <v>0</v>
      </c>
      <c r="C98" s="63">
        <v>2805</v>
      </c>
      <c r="D98" s="30" t="s">
        <v>94</v>
      </c>
      <c r="E98" s="30">
        <f>SUM('eoy24'!E551:G551)</f>
        <v>0</v>
      </c>
      <c r="G98" s="61"/>
      <c r="R98" s="61"/>
      <c r="W98" s="1"/>
      <c r="X98" s="1"/>
      <c r="Y98" s="1"/>
      <c r="Z98" s="1"/>
      <c r="AA98" s="1"/>
      <c r="AB98" s="1"/>
      <c r="AC98" s="90"/>
      <c r="AD98" s="85"/>
      <c r="AE98" s="1"/>
      <c r="AF98" s="1"/>
      <c r="AG98" s="1"/>
      <c r="AH98" s="111"/>
      <c r="AI98"/>
    </row>
    <row r="99" spans="1:35" ht="15" hidden="1" customHeight="1">
      <c r="A99" s="30">
        <f t="shared" ca="1" si="2"/>
        <v>0</v>
      </c>
      <c r="C99" s="63">
        <v>2806</v>
      </c>
      <c r="D99" s="30" t="s">
        <v>95</v>
      </c>
      <c r="E99" s="30">
        <f>SUM('eoy24'!E552:G552)</f>
        <v>0</v>
      </c>
      <c r="G99" s="61"/>
      <c r="R99" s="61"/>
      <c r="W99" s="1"/>
      <c r="X99" s="1"/>
      <c r="Y99" s="1"/>
      <c r="Z99" s="1"/>
      <c r="AA99" s="1"/>
      <c r="AB99" s="1"/>
      <c r="AC99" s="90"/>
      <c r="AD99" s="85"/>
      <c r="AE99" s="1"/>
      <c r="AF99" s="1"/>
      <c r="AG99" s="1"/>
      <c r="AH99" s="111"/>
      <c r="AI99"/>
    </row>
    <row r="100" spans="1:35" ht="15" hidden="1" customHeight="1">
      <c r="A100" s="30">
        <f t="shared" ca="1" si="2"/>
        <v>0</v>
      </c>
      <c r="C100" s="63">
        <v>2807</v>
      </c>
      <c r="D100" s="30" t="s">
        <v>236</v>
      </c>
      <c r="E100" s="30">
        <f>SUM('eoy24'!E553:G553)</f>
        <v>0</v>
      </c>
      <c r="G100" s="61"/>
      <c r="R100" s="61"/>
      <c r="W100" s="1"/>
      <c r="X100" s="1"/>
      <c r="Y100" s="1"/>
      <c r="Z100" s="1"/>
      <c r="AA100" s="1"/>
      <c r="AB100" s="1"/>
      <c r="AC100" s="90"/>
      <c r="AD100" s="85"/>
      <c r="AE100" s="1"/>
      <c r="AF100" s="1"/>
      <c r="AG100" s="1"/>
      <c r="AH100" s="111"/>
      <c r="AI100"/>
    </row>
    <row r="101" spans="1:35" ht="15" hidden="1" customHeight="1">
      <c r="A101" s="30">
        <f t="shared" ca="1" si="2"/>
        <v>0</v>
      </c>
      <c r="C101" s="63">
        <v>2808</v>
      </c>
      <c r="D101" s="30" t="s">
        <v>97</v>
      </c>
      <c r="E101" s="30">
        <f>SUM('eoy24'!E554:G554)</f>
        <v>0</v>
      </c>
      <c r="G101" s="61"/>
      <c r="R101" s="61"/>
      <c r="W101" s="1"/>
      <c r="X101" s="1"/>
      <c r="Y101" s="1"/>
      <c r="Z101" s="1"/>
      <c r="AA101" s="1"/>
      <c r="AB101" s="1"/>
      <c r="AC101" s="90"/>
      <c r="AD101" s="85"/>
      <c r="AE101" s="1"/>
      <c r="AF101" s="1"/>
      <c r="AG101" s="1"/>
      <c r="AH101" s="111"/>
      <c r="AI101"/>
    </row>
    <row r="102" spans="1:35" ht="15" hidden="1" customHeight="1">
      <c r="A102" s="30">
        <f t="shared" ca="1" si="2"/>
        <v>0</v>
      </c>
      <c r="C102" s="63">
        <v>2809</v>
      </c>
      <c r="D102" s="30" t="s">
        <v>98</v>
      </c>
      <c r="E102" s="30">
        <f>SUM('eoy24'!E555:G555)</f>
        <v>0</v>
      </c>
      <c r="G102" s="61"/>
      <c r="R102" s="61"/>
      <c r="W102" s="1"/>
      <c r="X102" s="1"/>
      <c r="Y102" s="1"/>
      <c r="Z102" s="1"/>
      <c r="AA102" s="1"/>
      <c r="AB102" s="1"/>
      <c r="AC102" s="90"/>
      <c r="AD102" s="85"/>
      <c r="AE102" s="1"/>
      <c r="AF102" s="1"/>
      <c r="AG102" s="1"/>
      <c r="AH102" s="111"/>
      <c r="AI102"/>
    </row>
    <row r="103" spans="1:35" ht="15" hidden="1" customHeight="1">
      <c r="A103" s="30">
        <f t="shared" ca="1" si="2"/>
        <v>0</v>
      </c>
      <c r="C103" s="63">
        <v>2810</v>
      </c>
      <c r="D103" s="30" t="s">
        <v>238</v>
      </c>
      <c r="E103" s="30">
        <f ca="1">SUM('eoy24'!E557:G557)</f>
        <v>0</v>
      </c>
      <c r="G103" s="61"/>
      <c r="R103" s="61"/>
      <c r="W103" s="1"/>
      <c r="X103" s="1"/>
      <c r="Y103" s="1"/>
      <c r="Z103" s="1"/>
      <c r="AA103" s="1"/>
      <c r="AB103" s="1"/>
      <c r="AC103" s="90"/>
      <c r="AD103" s="85"/>
      <c r="AE103" s="1"/>
      <c r="AF103" s="1"/>
      <c r="AG103" s="1"/>
      <c r="AH103" s="111"/>
      <c r="AI103"/>
    </row>
    <row r="104" spans="1:35" ht="15" hidden="1" customHeight="1">
      <c r="A104" s="30">
        <f t="shared" ca="1" si="2"/>
        <v>0</v>
      </c>
      <c r="C104" s="63">
        <v>2811</v>
      </c>
      <c r="D104" s="30" t="s">
        <v>239</v>
      </c>
      <c r="E104" s="30">
        <f ca="1">SUM('eoy24'!E558:G558)</f>
        <v>0</v>
      </c>
      <c r="G104" s="61"/>
      <c r="R104" s="61"/>
      <c r="W104" s="1"/>
      <c r="X104" s="1"/>
      <c r="Y104" s="1"/>
      <c r="Z104" s="1"/>
      <c r="AA104" s="1"/>
      <c r="AB104" s="1"/>
      <c r="AC104" s="90"/>
      <c r="AD104" s="85"/>
      <c r="AE104" s="1"/>
      <c r="AF104" s="1"/>
      <c r="AG104" s="1"/>
      <c r="AH104" s="111"/>
      <c r="AI104"/>
    </row>
    <row r="105" spans="1:35" ht="15" hidden="1" customHeight="1">
      <c r="A105" s="30">
        <f t="shared" ca="1" si="2"/>
        <v>0</v>
      </c>
      <c r="C105" s="63">
        <v>2812</v>
      </c>
      <c r="D105" s="30" t="s">
        <v>102</v>
      </c>
      <c r="E105" s="30">
        <f ca="1">SUM('eoy24'!E559:G559)</f>
        <v>0</v>
      </c>
      <c r="G105" s="61"/>
      <c r="R105" s="61"/>
      <c r="W105" s="1"/>
      <c r="X105" s="1"/>
      <c r="Y105" s="1"/>
      <c r="Z105" s="1"/>
      <c r="AA105" s="1"/>
      <c r="AB105" s="1"/>
      <c r="AC105" s="90"/>
      <c r="AD105" s="85"/>
      <c r="AE105" s="1"/>
      <c r="AF105" s="1"/>
      <c r="AG105" s="1"/>
      <c r="AH105" s="111"/>
      <c r="AI105"/>
    </row>
    <row r="106" spans="1:35" ht="15" hidden="1" customHeight="1">
      <c r="A106" s="30">
        <f t="shared" ca="1" si="2"/>
        <v>0</v>
      </c>
      <c r="C106" s="63">
        <v>2814</v>
      </c>
      <c r="D106" s="30" t="s">
        <v>103</v>
      </c>
      <c r="E106" s="30">
        <f ca="1">SUM('eoy24'!E560:G560)</f>
        <v>0</v>
      </c>
      <c r="G106" s="61"/>
      <c r="R106" s="61"/>
      <c r="W106" s="1"/>
      <c r="X106" s="1"/>
      <c r="Y106" s="1"/>
      <c r="Z106" s="1"/>
      <c r="AA106" s="1"/>
      <c r="AB106" s="1"/>
      <c r="AC106" s="90"/>
      <c r="AD106" s="85"/>
      <c r="AE106" s="1"/>
      <c r="AF106" s="1"/>
      <c r="AG106" s="1"/>
      <c r="AH106" s="111"/>
      <c r="AI106"/>
    </row>
    <row r="107" spans="1:35" ht="15" hidden="1" customHeight="1">
      <c r="A107" s="30">
        <f t="shared" ca="1" si="2"/>
        <v>0</v>
      </c>
      <c r="C107" s="63">
        <v>2815</v>
      </c>
      <c r="D107" s="30" t="s">
        <v>104</v>
      </c>
      <c r="E107" s="30">
        <f ca="1">SUM('eoy24'!E561:G561)</f>
        <v>0</v>
      </c>
      <c r="G107" s="61"/>
      <c r="R107" s="61"/>
      <c r="W107" s="1"/>
      <c r="X107" s="1"/>
      <c r="Y107" s="1"/>
      <c r="Z107" s="1"/>
      <c r="AA107" s="1"/>
      <c r="AB107" s="1"/>
      <c r="AC107" s="90"/>
      <c r="AD107" s="85"/>
      <c r="AE107" s="1"/>
      <c r="AF107" s="1"/>
      <c r="AG107" s="1"/>
      <c r="AH107" s="111"/>
      <c r="AI107"/>
    </row>
    <row r="108" spans="1:35" ht="15" hidden="1" customHeight="1">
      <c r="A108" s="30">
        <f t="shared" ca="1" si="2"/>
        <v>0</v>
      </c>
      <c r="C108" s="63">
        <v>2816</v>
      </c>
      <c r="D108" s="30" t="s">
        <v>240</v>
      </c>
      <c r="E108" s="30">
        <f>SUM('eoy24'!E562:G562)</f>
        <v>371286</v>
      </c>
      <c r="G108" s="61"/>
      <c r="R108" s="61"/>
      <c r="W108" s="1"/>
      <c r="X108" s="1"/>
      <c r="Y108" s="1"/>
      <c r="Z108" s="1"/>
      <c r="AA108" s="1"/>
      <c r="AB108" s="1"/>
      <c r="AC108" s="90"/>
      <c r="AD108" s="85"/>
      <c r="AE108" s="1"/>
      <c r="AF108" s="1"/>
      <c r="AG108" s="1"/>
      <c r="AH108" s="111"/>
      <c r="AI108"/>
    </row>
    <row r="109" spans="1:35" ht="15" hidden="1" customHeight="1">
      <c r="A109" s="30">
        <f t="shared" ca="1" si="2"/>
        <v>0</v>
      </c>
      <c r="C109" s="63">
        <v>2817</v>
      </c>
      <c r="D109" s="30" t="s">
        <v>241</v>
      </c>
      <c r="E109" s="30">
        <f ca="1">SUM('eoy24'!E563:G563)</f>
        <v>0</v>
      </c>
      <c r="G109" s="61"/>
      <c r="R109" s="61"/>
      <c r="W109" s="1"/>
      <c r="X109" s="1"/>
      <c r="Y109" s="1"/>
      <c r="Z109" s="1"/>
      <c r="AA109" s="1"/>
      <c r="AB109" s="1"/>
      <c r="AC109" s="90"/>
      <c r="AD109" s="85"/>
      <c r="AE109" s="1"/>
      <c r="AF109" s="1"/>
      <c r="AG109" s="1"/>
      <c r="AH109" s="111"/>
      <c r="AI109"/>
    </row>
    <row r="110" spans="1:35" ht="15" hidden="1" customHeight="1">
      <c r="A110" s="30">
        <f t="shared" ca="1" si="2"/>
        <v>0</v>
      </c>
      <c r="C110" s="63">
        <v>2818</v>
      </c>
      <c r="D110" s="30" t="s">
        <v>108</v>
      </c>
      <c r="E110" s="30">
        <f ca="1">SUM('eoy24'!E564:G564)</f>
        <v>0</v>
      </c>
      <c r="G110" s="61"/>
      <c r="R110" s="61"/>
      <c r="W110" s="1"/>
      <c r="X110" s="1"/>
      <c r="Y110" s="1"/>
      <c r="Z110" s="1"/>
      <c r="AA110" s="1"/>
      <c r="AB110" s="1"/>
      <c r="AC110" s="90"/>
      <c r="AD110" s="85"/>
      <c r="AE110" s="1"/>
      <c r="AF110" s="1"/>
      <c r="AG110" s="1"/>
      <c r="AH110" s="111"/>
      <c r="AI110"/>
    </row>
    <row r="111" spans="1:35" ht="15" hidden="1" customHeight="1">
      <c r="A111" s="30">
        <f t="shared" ca="1" si="2"/>
        <v>0</v>
      </c>
      <c r="C111" s="63">
        <v>2819</v>
      </c>
      <c r="D111" s="30" t="s">
        <v>109</v>
      </c>
      <c r="E111" s="30">
        <f ca="1">SUM('eoy24'!E565:G565)</f>
        <v>0</v>
      </c>
      <c r="G111" s="61"/>
      <c r="R111" s="61"/>
      <c r="W111" s="1"/>
      <c r="X111" s="1"/>
      <c r="Y111" s="1"/>
      <c r="Z111" s="1"/>
      <c r="AA111" s="1"/>
      <c r="AB111" s="1"/>
      <c r="AC111" s="90"/>
      <c r="AD111" s="85"/>
      <c r="AE111" s="1"/>
      <c r="AF111" s="1"/>
      <c r="AG111" s="1"/>
      <c r="AH111" s="111"/>
      <c r="AI111"/>
    </row>
    <row r="112" spans="1:35" ht="15" hidden="1" customHeight="1">
      <c r="A112" s="30">
        <f t="shared" ca="1" si="2"/>
        <v>0</v>
      </c>
      <c r="C112" s="63">
        <v>2820</v>
      </c>
      <c r="D112" s="30" t="s">
        <v>242</v>
      </c>
      <c r="E112" s="30">
        <f ca="1">SUM('eoy24'!E566:G566)</f>
        <v>511113</v>
      </c>
      <c r="G112" s="61"/>
      <c r="R112" s="61"/>
      <c r="W112" s="1"/>
      <c r="X112" s="1"/>
      <c r="Y112" s="1"/>
      <c r="Z112" s="1"/>
      <c r="AA112" s="1"/>
      <c r="AB112" s="1"/>
      <c r="AC112" s="90"/>
      <c r="AD112" s="85"/>
      <c r="AE112" s="1"/>
      <c r="AF112" s="1"/>
      <c r="AG112" s="1"/>
      <c r="AH112" s="111"/>
      <c r="AI112"/>
    </row>
    <row r="113" spans="1:35" ht="15" hidden="1" customHeight="1">
      <c r="A113" s="30">
        <f t="shared" ca="1" si="2"/>
        <v>0</v>
      </c>
      <c r="C113" s="63">
        <v>2821</v>
      </c>
      <c r="D113" s="30" t="s">
        <v>111</v>
      </c>
      <c r="E113" s="30">
        <f ca="1">SUM('eoy24'!E567:G567)</f>
        <v>0</v>
      </c>
      <c r="G113" s="61"/>
      <c r="R113" s="61"/>
      <c r="W113" s="1"/>
      <c r="X113" s="1"/>
      <c r="Y113" s="1"/>
      <c r="Z113" s="1"/>
      <c r="AA113" s="1"/>
      <c r="AB113" s="1"/>
      <c r="AC113" s="90"/>
      <c r="AD113" s="85"/>
      <c r="AE113" s="1"/>
      <c r="AF113" s="1"/>
      <c r="AG113" s="1"/>
      <c r="AH113" s="111"/>
      <c r="AI113"/>
    </row>
    <row r="114" spans="1:35" ht="15" hidden="1" customHeight="1">
      <c r="A114" s="30">
        <f t="shared" ca="1" si="2"/>
        <v>0</v>
      </c>
      <c r="C114" s="63">
        <v>2822</v>
      </c>
      <c r="D114" s="30" t="s">
        <v>896</v>
      </c>
      <c r="E114" s="30">
        <f ca="1">SUM('eoy24'!E568:G568)</f>
        <v>0</v>
      </c>
      <c r="G114" s="61"/>
      <c r="R114" s="61"/>
      <c r="W114" s="1"/>
      <c r="X114" s="1"/>
      <c r="Y114" s="1"/>
      <c r="Z114" s="1"/>
      <c r="AA114" s="1"/>
      <c r="AB114" s="1"/>
      <c r="AC114" s="90"/>
      <c r="AD114" s="85"/>
      <c r="AE114" s="1"/>
      <c r="AF114" s="1"/>
      <c r="AG114" s="1"/>
      <c r="AH114" s="111"/>
      <c r="AI114"/>
    </row>
    <row r="115" spans="1:35" ht="15" hidden="1" customHeight="1">
      <c r="A115" s="30">
        <f t="shared" ca="1" si="2"/>
        <v>0</v>
      </c>
      <c r="C115" s="63">
        <v>2823</v>
      </c>
      <c r="D115" s="30" t="s">
        <v>113</v>
      </c>
      <c r="E115" s="30">
        <f ca="1">SUM('eoy24'!E569:G569)</f>
        <v>0</v>
      </c>
      <c r="G115" s="61"/>
      <c r="R115" s="61"/>
      <c r="W115" s="1"/>
      <c r="X115" s="1"/>
      <c r="Y115" s="1"/>
      <c r="Z115" s="1"/>
      <c r="AA115" s="1"/>
      <c r="AB115" s="1"/>
      <c r="AC115" s="90"/>
      <c r="AD115" s="85"/>
      <c r="AE115" s="1"/>
      <c r="AF115" s="1"/>
      <c r="AG115" s="1"/>
      <c r="AH115" s="111"/>
      <c r="AI115"/>
    </row>
    <row r="116" spans="1:35" ht="15" hidden="1" customHeight="1">
      <c r="A116" s="30">
        <f t="shared" ca="1" si="2"/>
        <v>0</v>
      </c>
      <c r="C116" s="63">
        <v>2824</v>
      </c>
      <c r="D116" s="30" t="s">
        <v>114</v>
      </c>
      <c r="E116" s="30">
        <f ca="1">SUM('eoy24'!E570:G570)</f>
        <v>0</v>
      </c>
      <c r="G116" s="61"/>
      <c r="R116" s="61"/>
      <c r="W116" s="1"/>
      <c r="X116" s="1"/>
      <c r="Y116" s="1"/>
      <c r="Z116" s="1"/>
      <c r="AA116" s="1"/>
      <c r="AB116" s="1"/>
      <c r="AC116" s="90"/>
      <c r="AD116" s="85"/>
      <c r="AE116" s="1"/>
      <c r="AF116" s="1"/>
      <c r="AG116" s="1"/>
      <c r="AH116" s="111"/>
      <c r="AI116"/>
    </row>
    <row r="117" spans="1:35" ht="15" hidden="1" customHeight="1">
      <c r="A117" s="30">
        <f t="shared" ca="1" si="2"/>
        <v>0</v>
      </c>
      <c r="C117" s="63">
        <v>2825</v>
      </c>
      <c r="D117" s="30" t="s">
        <v>115</v>
      </c>
      <c r="E117" s="30">
        <f ca="1">SUM('eoy24'!E571:G571)</f>
        <v>0</v>
      </c>
      <c r="R117" s="61"/>
      <c r="W117" s="1"/>
      <c r="X117" s="1"/>
      <c r="Y117" s="1"/>
      <c r="Z117" s="1"/>
      <c r="AA117" s="1"/>
      <c r="AB117" s="1"/>
      <c r="AC117" s="90"/>
      <c r="AD117" s="85"/>
      <c r="AE117" s="1"/>
      <c r="AF117" s="1"/>
      <c r="AG117" s="1"/>
      <c r="AH117" s="111"/>
      <c r="AI117"/>
    </row>
    <row r="118" spans="1:35" ht="15" hidden="1" customHeight="1">
      <c r="A118" s="30">
        <f t="shared" ca="1" si="2"/>
        <v>0</v>
      </c>
      <c r="C118" s="63">
        <v>2826</v>
      </c>
      <c r="D118" s="30" t="s">
        <v>243</v>
      </c>
      <c r="E118" s="30">
        <f ca="1">SUM('eoy24'!E572:G572)</f>
        <v>0</v>
      </c>
      <c r="R118" s="61"/>
      <c r="W118" s="1"/>
      <c r="X118" s="1"/>
      <c r="Y118" s="1"/>
      <c r="Z118" s="1"/>
      <c r="AA118" s="1"/>
      <c r="AB118" s="1"/>
      <c r="AC118" s="90"/>
      <c r="AD118" s="85"/>
      <c r="AE118" s="1"/>
      <c r="AF118" s="1"/>
      <c r="AG118" s="1"/>
      <c r="AH118" s="111"/>
      <c r="AI118"/>
    </row>
    <row r="119" spans="1:35" ht="15" hidden="1" customHeight="1">
      <c r="A119" s="30">
        <f t="shared" ca="1" si="2"/>
        <v>0</v>
      </c>
      <c r="C119" s="63">
        <v>2827</v>
      </c>
      <c r="D119" s="30" t="s">
        <v>117</v>
      </c>
      <c r="E119" s="30">
        <f ca="1">SUM('eoy24'!E573:G573)</f>
        <v>0</v>
      </c>
      <c r="R119" s="61"/>
      <c r="W119" s="1"/>
      <c r="X119" s="1"/>
      <c r="Y119" s="1"/>
      <c r="Z119" s="1"/>
      <c r="AA119" s="1"/>
      <c r="AB119" s="1"/>
      <c r="AC119" s="90"/>
      <c r="AD119" s="85"/>
      <c r="AE119" s="1"/>
      <c r="AF119" s="1"/>
      <c r="AG119" s="1"/>
      <c r="AH119" s="111"/>
      <c r="AI119"/>
    </row>
    <row r="120" spans="1:35" ht="15" hidden="1" customHeight="1">
      <c r="A120" s="30">
        <f t="shared" ca="1" si="2"/>
        <v>0</v>
      </c>
      <c r="C120" s="63">
        <v>2828</v>
      </c>
      <c r="D120" s="30" t="s">
        <v>897</v>
      </c>
      <c r="E120" s="30">
        <f ca="1">SUM('eoy24'!E574:G574)</f>
        <v>0</v>
      </c>
      <c r="R120" s="61"/>
      <c r="W120" s="1"/>
      <c r="X120" s="1"/>
      <c r="Y120" s="1"/>
      <c r="Z120" s="1"/>
      <c r="AA120" s="1"/>
      <c r="AB120" s="1"/>
      <c r="AC120" s="90"/>
      <c r="AD120" s="85"/>
      <c r="AE120" s="1"/>
      <c r="AF120" s="1"/>
      <c r="AG120" s="1"/>
      <c r="AH120" s="111"/>
      <c r="AI120"/>
    </row>
    <row r="121" spans="1:35" ht="15" hidden="1" customHeight="1">
      <c r="A121" s="30">
        <f t="shared" ca="1" si="2"/>
        <v>0</v>
      </c>
      <c r="C121" s="63">
        <v>2829</v>
      </c>
      <c r="D121" s="30" t="s">
        <v>119</v>
      </c>
      <c r="E121" s="30">
        <f ca="1">SUM('eoy24'!E575:G575)</f>
        <v>27698</v>
      </c>
      <c r="R121" s="61"/>
      <c r="W121" s="1"/>
      <c r="X121" s="1"/>
      <c r="Y121" s="1"/>
      <c r="Z121" s="1"/>
      <c r="AA121" s="1"/>
      <c r="AB121" s="1"/>
      <c r="AC121" s="90"/>
      <c r="AD121" s="85"/>
      <c r="AE121" s="1"/>
      <c r="AF121" s="1"/>
      <c r="AG121" s="1"/>
      <c r="AH121" s="111"/>
      <c r="AI121"/>
    </row>
    <row r="122" spans="1:35" ht="15" hidden="1" customHeight="1">
      <c r="A122" s="30">
        <f t="shared" ca="1" si="2"/>
        <v>0</v>
      </c>
      <c r="C122" s="63">
        <v>2830</v>
      </c>
      <c r="D122" s="30" t="s">
        <v>120</v>
      </c>
      <c r="E122" s="30">
        <f ca="1">SUM('eoy24'!E576:G576)</f>
        <v>0</v>
      </c>
      <c r="R122" s="61"/>
      <c r="W122" s="1"/>
      <c r="X122" s="1"/>
      <c r="Y122" s="1"/>
      <c r="Z122" s="1"/>
      <c r="AA122" s="1"/>
      <c r="AB122" s="1"/>
      <c r="AC122" s="90"/>
      <c r="AD122" s="85"/>
      <c r="AE122" s="1"/>
      <c r="AF122" s="1"/>
      <c r="AG122" s="1"/>
      <c r="AH122" s="111"/>
      <c r="AI122"/>
    </row>
    <row r="123" spans="1:35" ht="15" hidden="1" customHeight="1">
      <c r="A123" s="30">
        <f t="shared" ca="1" si="2"/>
        <v>0</v>
      </c>
      <c r="C123" s="63">
        <v>2831</v>
      </c>
      <c r="D123" s="30" t="s">
        <v>121</v>
      </c>
      <c r="E123" s="30">
        <f ca="1">SUM('eoy24'!E577:G577)</f>
        <v>0</v>
      </c>
      <c r="R123" s="61"/>
      <c r="W123" s="1"/>
      <c r="X123" s="1"/>
      <c r="Y123" s="1"/>
      <c r="Z123" s="1"/>
      <c r="AA123" s="1"/>
      <c r="AB123" s="1"/>
      <c r="AC123" s="90"/>
      <c r="AD123" s="85"/>
      <c r="AE123" s="1"/>
      <c r="AF123" s="1"/>
      <c r="AG123" s="1"/>
      <c r="AH123" s="111"/>
      <c r="AI123"/>
    </row>
    <row r="124" spans="1:35" ht="15" hidden="1" customHeight="1">
      <c r="A124" s="30">
        <f t="shared" ca="1" si="2"/>
        <v>0</v>
      </c>
      <c r="C124" s="63">
        <v>2832</v>
      </c>
      <c r="D124" s="30" t="s">
        <v>122</v>
      </c>
      <c r="E124" s="30">
        <f ca="1">SUM('eoy24'!E578:G578)</f>
        <v>18643</v>
      </c>
      <c r="R124" s="61"/>
      <c r="W124" s="1"/>
      <c r="X124" s="1"/>
      <c r="Y124" s="1"/>
      <c r="Z124" s="1"/>
      <c r="AA124" s="1"/>
      <c r="AB124" s="1"/>
      <c r="AC124" s="90"/>
      <c r="AD124" s="85"/>
      <c r="AE124" s="1"/>
      <c r="AF124" s="1"/>
      <c r="AG124" s="1"/>
      <c r="AH124" s="111"/>
      <c r="AI124"/>
    </row>
    <row r="125" spans="1:35" ht="15" hidden="1" customHeight="1">
      <c r="A125" s="30">
        <f t="shared" ca="1" si="2"/>
        <v>0</v>
      </c>
      <c r="C125" s="63">
        <v>2833</v>
      </c>
      <c r="D125" s="30" t="s">
        <v>123</v>
      </c>
      <c r="E125" s="30">
        <f ca="1">SUM('eoy24'!E579:G579)</f>
        <v>0</v>
      </c>
      <c r="R125" s="61"/>
      <c r="W125" s="1"/>
      <c r="X125" s="1"/>
      <c r="Y125" s="1"/>
      <c r="Z125" s="1"/>
      <c r="AA125" s="1"/>
      <c r="AB125" s="1"/>
      <c r="AC125" s="90"/>
      <c r="AD125" s="85"/>
      <c r="AE125" s="1"/>
      <c r="AF125" s="1"/>
      <c r="AG125" s="1"/>
      <c r="AH125" s="111"/>
      <c r="AI125"/>
    </row>
    <row r="126" spans="1:35" ht="15" hidden="1" customHeight="1">
      <c r="A126" s="30">
        <f t="shared" ca="1" si="2"/>
        <v>0</v>
      </c>
      <c r="C126" s="63">
        <v>2834</v>
      </c>
      <c r="D126" s="30" t="s">
        <v>124</v>
      </c>
      <c r="E126" s="30">
        <f ca="1">SUM('eoy24'!E580:G580)</f>
        <v>0</v>
      </c>
      <c r="R126" s="61"/>
      <c r="W126" s="1"/>
      <c r="X126" s="1"/>
      <c r="Y126" s="1"/>
      <c r="Z126" s="1"/>
      <c r="AA126" s="1"/>
      <c r="AB126" s="1"/>
      <c r="AC126" s="90"/>
      <c r="AD126" s="85"/>
      <c r="AE126" s="1"/>
      <c r="AF126" s="1"/>
      <c r="AG126" s="1"/>
      <c r="AH126" s="111"/>
      <c r="AI126"/>
    </row>
    <row r="127" spans="1:35" ht="15" hidden="1" customHeight="1">
      <c r="A127" s="30">
        <f t="shared" ca="1" si="2"/>
        <v>0</v>
      </c>
      <c r="C127" s="63">
        <v>2835</v>
      </c>
      <c r="D127" s="30" t="s">
        <v>125</v>
      </c>
      <c r="E127" s="30">
        <f ca="1">SUM('eoy24'!E581:G581)</f>
        <v>0</v>
      </c>
      <c r="R127" s="61"/>
      <c r="W127" s="1"/>
      <c r="X127" s="1"/>
      <c r="Y127" s="1"/>
      <c r="Z127" s="1"/>
      <c r="AA127" s="1"/>
      <c r="AB127" s="1"/>
      <c r="AC127" s="90"/>
      <c r="AD127" s="85"/>
      <c r="AE127" s="1"/>
      <c r="AF127" s="1"/>
      <c r="AG127" s="1"/>
      <c r="AH127" s="111"/>
      <c r="AI127"/>
    </row>
    <row r="128" spans="1:35" ht="15" hidden="1" customHeight="1">
      <c r="A128" s="30">
        <f t="shared" ref="A128:A160" ca="1" si="3">IF(AND(E128&gt;0,E$176=1),1,0)</f>
        <v>0</v>
      </c>
      <c r="C128" s="63">
        <v>2836</v>
      </c>
      <c r="D128" s="30" t="s">
        <v>244</v>
      </c>
      <c r="E128" s="30">
        <f ca="1">SUM('eoy24'!E582:G582)</f>
        <v>0</v>
      </c>
      <c r="K128" s="61"/>
      <c r="L128" s="65"/>
      <c r="R128" s="61"/>
      <c r="W128" s="1"/>
      <c r="X128" s="1"/>
      <c r="Y128" s="1"/>
      <c r="Z128" s="1"/>
      <c r="AA128" s="1"/>
      <c r="AB128" s="1"/>
      <c r="AC128" s="90"/>
      <c r="AD128" s="85"/>
      <c r="AE128" s="1"/>
      <c r="AF128" s="1"/>
      <c r="AG128" s="1"/>
      <c r="AH128" s="111"/>
      <c r="AI128"/>
    </row>
    <row r="129" spans="1:35" ht="15" hidden="1" customHeight="1">
      <c r="A129" s="30">
        <f t="shared" ca="1" si="3"/>
        <v>0</v>
      </c>
      <c r="C129" s="63">
        <v>2900</v>
      </c>
      <c r="D129" s="30" t="s">
        <v>127</v>
      </c>
      <c r="E129" s="30">
        <f ca="1">SUM('eoy24'!E583:G583)</f>
        <v>0</v>
      </c>
      <c r="K129" s="61"/>
      <c r="L129" s="65"/>
      <c r="R129" s="61"/>
      <c r="W129" s="1"/>
      <c r="X129" s="1"/>
      <c r="Y129" s="1"/>
      <c r="Z129" s="1"/>
      <c r="AA129" s="1"/>
      <c r="AB129" s="1"/>
      <c r="AC129" s="90"/>
      <c r="AD129" s="85"/>
      <c r="AE129" s="1"/>
      <c r="AF129" s="1"/>
      <c r="AG129" s="1"/>
      <c r="AH129" s="111"/>
      <c r="AI129"/>
    </row>
    <row r="130" spans="1:35" ht="15" hidden="1" customHeight="1">
      <c r="A130" s="30">
        <f t="shared" ca="1" si="3"/>
        <v>0</v>
      </c>
      <c r="C130" s="63">
        <v>2901</v>
      </c>
      <c r="D130" s="30" t="s">
        <v>128</v>
      </c>
      <c r="E130" s="30">
        <f ca="1">SUM('eoy24'!E584:G584)</f>
        <v>0</v>
      </c>
      <c r="K130" s="61"/>
      <c r="L130" s="65"/>
      <c r="R130" s="61"/>
      <c r="W130" s="1"/>
      <c r="X130" s="1"/>
      <c r="Y130" s="1"/>
      <c r="Z130" s="1"/>
      <c r="AA130" s="1"/>
      <c r="AB130" s="1"/>
      <c r="AC130" s="90"/>
      <c r="AD130" s="85"/>
      <c r="AE130" s="1"/>
      <c r="AF130" s="1"/>
      <c r="AG130" s="1"/>
      <c r="AH130" s="111"/>
      <c r="AI130"/>
    </row>
    <row r="131" spans="1:35" ht="15" hidden="1" customHeight="1">
      <c r="A131" s="30">
        <f t="shared" ca="1" si="3"/>
        <v>0</v>
      </c>
      <c r="C131" s="63">
        <v>2910</v>
      </c>
      <c r="D131" s="30" t="s">
        <v>129</v>
      </c>
      <c r="E131" s="30">
        <f>SUM('eoy24'!E587:G587)</f>
        <v>0</v>
      </c>
      <c r="K131" s="61"/>
      <c r="L131" s="65"/>
      <c r="R131" s="61"/>
      <c r="W131" s="1" t="s">
        <v>898</v>
      </c>
      <c r="X131" s="1"/>
      <c r="Y131" s="1"/>
      <c r="Z131" s="1"/>
      <c r="AA131" s="1"/>
      <c r="AB131" s="1"/>
      <c r="AC131" s="90"/>
      <c r="AD131" s="85"/>
      <c r="AE131" s="1"/>
      <c r="AF131" s="1"/>
      <c r="AG131" s="1"/>
      <c r="AH131" s="111"/>
      <c r="AI131"/>
    </row>
    <row r="132" spans="1:35" ht="15" hidden="1" customHeight="1">
      <c r="A132" s="30">
        <f t="shared" ca="1" si="3"/>
        <v>0</v>
      </c>
      <c r="C132" s="63">
        <v>2920</v>
      </c>
      <c r="D132" s="30" t="s">
        <v>130</v>
      </c>
      <c r="E132" s="30">
        <f>SUM('eoy24'!E588:G588)</f>
        <v>0</v>
      </c>
      <c r="K132" s="61"/>
      <c r="L132" s="65"/>
      <c r="R132" s="61"/>
      <c r="W132" s="1"/>
      <c r="X132" s="1"/>
      <c r="Y132" s="1"/>
      <c r="Z132" s="1"/>
      <c r="AA132" s="1"/>
      <c r="AB132" s="1"/>
      <c r="AC132" s="90"/>
      <c r="AD132" s="85"/>
      <c r="AE132" s="1"/>
      <c r="AF132" s="1"/>
      <c r="AG132" s="1"/>
      <c r="AH132" s="111"/>
      <c r="AI132"/>
    </row>
    <row r="133" spans="1:35" ht="15" hidden="1" customHeight="1">
      <c r="A133" s="30">
        <f t="shared" ca="1" si="3"/>
        <v>0</v>
      </c>
      <c r="C133" s="63">
        <v>2930</v>
      </c>
      <c r="D133" s="30" t="s">
        <v>131</v>
      </c>
      <c r="E133" s="30">
        <f>SUM('eoy24'!E589:G589)</f>
        <v>0</v>
      </c>
      <c r="K133" s="61"/>
      <c r="L133" s="65"/>
      <c r="R133" s="61"/>
      <c r="W133" s="1"/>
      <c r="X133" s="1"/>
      <c r="Y133" s="1"/>
      <c r="Z133" s="1"/>
      <c r="AA133" s="1"/>
      <c r="AB133" s="1"/>
      <c r="AC133" s="90"/>
      <c r="AD133" s="85"/>
      <c r="AE133" s="1"/>
      <c r="AF133" s="1"/>
      <c r="AG133" s="1"/>
      <c r="AH133" s="111"/>
      <c r="AI133"/>
    </row>
    <row r="134" spans="1:35" ht="15" hidden="1" customHeight="1">
      <c r="A134" s="30">
        <f t="shared" ca="1" si="3"/>
        <v>0</v>
      </c>
      <c r="C134" s="63">
        <v>2940</v>
      </c>
      <c r="D134" s="30" t="s">
        <v>132</v>
      </c>
      <c r="E134" s="30">
        <f>SUM('eoy24'!E590:G590)</f>
        <v>0</v>
      </c>
      <c r="K134" s="61"/>
      <c r="L134" s="65"/>
      <c r="R134" s="61"/>
      <c r="W134" s="1"/>
      <c r="X134" s="1"/>
      <c r="Y134" s="1"/>
      <c r="Z134" s="1"/>
      <c r="AA134" s="1"/>
      <c r="AB134" s="1"/>
      <c r="AC134" s="90"/>
      <c r="AD134" s="85"/>
      <c r="AE134" s="1"/>
      <c r="AF134" s="1"/>
      <c r="AG134" s="1"/>
      <c r="AH134" s="111"/>
      <c r="AI134"/>
    </row>
    <row r="135" spans="1:35" ht="15" hidden="1" customHeight="1">
      <c r="A135" s="30">
        <f t="shared" ca="1" si="3"/>
        <v>0</v>
      </c>
      <c r="C135" s="63">
        <v>2950</v>
      </c>
      <c r="D135" s="30" t="s">
        <v>134</v>
      </c>
      <c r="E135" s="30">
        <f>SUM('eoy24'!E591:G591)</f>
        <v>0</v>
      </c>
      <c r="K135" s="61"/>
      <c r="L135" s="65"/>
      <c r="R135" s="61"/>
      <c r="W135" s="1"/>
      <c r="X135" s="1"/>
      <c r="Y135" s="1"/>
      <c r="Z135" s="1"/>
      <c r="AA135" s="1"/>
      <c r="AB135" s="1"/>
      <c r="AC135" s="90"/>
      <c r="AD135" s="85"/>
      <c r="AE135" s="1"/>
      <c r="AF135" s="1"/>
      <c r="AG135" s="1"/>
      <c r="AH135" s="111"/>
      <c r="AI135"/>
    </row>
    <row r="136" spans="1:35" ht="15" hidden="1" customHeight="1">
      <c r="A136" s="30">
        <f t="shared" ca="1" si="3"/>
        <v>0</v>
      </c>
      <c r="C136" s="63">
        <v>2960</v>
      </c>
      <c r="D136" s="30" t="s">
        <v>246</v>
      </c>
      <c r="E136" s="30">
        <f>SUM('eoy24'!E592:G592)</f>
        <v>0</v>
      </c>
      <c r="K136" s="61"/>
      <c r="L136" s="65"/>
      <c r="R136" s="61"/>
      <c r="W136" s="1"/>
      <c r="X136" s="1"/>
      <c r="Y136" s="1"/>
      <c r="Z136" s="1"/>
      <c r="AA136" s="1"/>
      <c r="AB136" s="1"/>
      <c r="AC136" s="90"/>
      <c r="AD136" s="85"/>
      <c r="AE136" s="1"/>
      <c r="AF136" s="1"/>
      <c r="AG136" s="1"/>
      <c r="AH136" s="111"/>
      <c r="AI136"/>
    </row>
    <row r="137" spans="1:35" ht="15" hidden="1" customHeight="1">
      <c r="A137" s="30">
        <f t="shared" ca="1" si="3"/>
        <v>0</v>
      </c>
      <c r="C137" s="63">
        <v>2965</v>
      </c>
      <c r="D137" s="30" t="s">
        <v>247</v>
      </c>
      <c r="E137" s="30">
        <f>SUM('eoy24'!E593:G593)</f>
        <v>0</v>
      </c>
      <c r="K137" s="61"/>
      <c r="L137" s="65"/>
      <c r="R137" s="61"/>
      <c r="W137" s="1"/>
      <c r="X137" s="1"/>
      <c r="Y137" s="1"/>
      <c r="Z137" s="1"/>
      <c r="AA137" s="1"/>
      <c r="AB137" s="1"/>
      <c r="AC137" s="90"/>
      <c r="AD137" s="85"/>
      <c r="AE137" s="1"/>
      <c r="AF137" s="1"/>
      <c r="AG137" s="1"/>
      <c r="AH137" s="111"/>
      <c r="AI137"/>
    </row>
    <row r="138" spans="1:35" ht="15" hidden="1" customHeight="1">
      <c r="A138" s="30">
        <f t="shared" ca="1" si="3"/>
        <v>0</v>
      </c>
      <c r="C138" s="63">
        <v>2971</v>
      </c>
      <c r="D138" s="30" t="s">
        <v>137</v>
      </c>
      <c r="E138" s="30">
        <f>SUM('eoy24'!E594:G594)</f>
        <v>0</v>
      </c>
      <c r="K138" s="61"/>
      <c r="L138" s="65"/>
      <c r="R138" s="61"/>
      <c r="W138" s="1"/>
      <c r="X138" s="1"/>
      <c r="Y138" s="1"/>
      <c r="Z138" s="1"/>
      <c r="AA138" s="1"/>
      <c r="AB138" s="1"/>
      <c r="AC138" s="90"/>
      <c r="AD138" s="85"/>
      <c r="AE138" s="1"/>
      <c r="AF138" s="1"/>
      <c r="AG138" s="1"/>
      <c r="AH138" s="111"/>
      <c r="AI138"/>
    </row>
    <row r="139" spans="1:35" ht="15" hidden="1" customHeight="1">
      <c r="A139" s="30">
        <f t="shared" ca="1" si="3"/>
        <v>0</v>
      </c>
      <c r="C139" s="63">
        <v>2972</v>
      </c>
      <c r="D139" s="30" t="s">
        <v>138</v>
      </c>
      <c r="E139" s="30">
        <f>SUM('eoy24'!E595:G595)</f>
        <v>0</v>
      </c>
      <c r="K139" s="61"/>
      <c r="L139" s="65"/>
      <c r="R139" s="61"/>
      <c r="W139" s="1"/>
      <c r="X139" s="1"/>
      <c r="Y139" s="1"/>
      <c r="Z139" s="1"/>
      <c r="AA139" s="1"/>
      <c r="AB139" s="1"/>
      <c r="AC139" s="90"/>
      <c r="AD139" s="85"/>
      <c r="AE139" s="1"/>
      <c r="AF139" s="1"/>
      <c r="AG139" s="1"/>
      <c r="AH139" s="111"/>
      <c r="AI139"/>
    </row>
    <row r="140" spans="1:35" ht="15" hidden="1" customHeight="1">
      <c r="A140" s="30">
        <f t="shared" ca="1" si="3"/>
        <v>0</v>
      </c>
      <c r="C140" s="63">
        <v>2973</v>
      </c>
      <c r="D140" s="30" t="s">
        <v>139</v>
      </c>
      <c r="E140" s="30">
        <f>SUM('eoy24'!E596:G596)</f>
        <v>0</v>
      </c>
      <c r="K140" s="61"/>
      <c r="L140" s="65"/>
      <c r="R140" s="61"/>
      <c r="W140" s="1"/>
      <c r="X140" s="1"/>
      <c r="Y140" s="1"/>
      <c r="Z140" s="1"/>
      <c r="AA140" s="1"/>
      <c r="AB140" s="1"/>
      <c r="AC140" s="90"/>
      <c r="AD140" s="85"/>
      <c r="AE140" s="1"/>
      <c r="AF140" s="1"/>
      <c r="AG140" s="1"/>
      <c r="AH140" s="111"/>
      <c r="AI140"/>
    </row>
    <row r="141" spans="1:35" ht="15" hidden="1" customHeight="1">
      <c r="A141" s="30">
        <f t="shared" ca="1" si="3"/>
        <v>0</v>
      </c>
      <c r="C141" s="63">
        <v>2974</v>
      </c>
      <c r="D141" s="30" t="s">
        <v>140</v>
      </c>
      <c r="E141" s="30">
        <f>SUM('eoy24'!E597:G597)</f>
        <v>0</v>
      </c>
      <c r="K141" s="61"/>
      <c r="L141" s="65"/>
      <c r="R141" s="61"/>
      <c r="W141" s="1"/>
      <c r="X141" s="1"/>
      <c r="Y141" s="1"/>
      <c r="Z141" s="1"/>
      <c r="AA141" s="1"/>
      <c r="AB141" s="1"/>
      <c r="AC141" s="90"/>
      <c r="AD141" s="85"/>
      <c r="AE141" s="1"/>
      <c r="AF141" s="1"/>
      <c r="AG141" s="1"/>
      <c r="AH141" s="111"/>
      <c r="AI141"/>
    </row>
    <row r="142" spans="1:35" ht="15" hidden="1" customHeight="1">
      <c r="A142" s="30">
        <f t="shared" ca="1" si="3"/>
        <v>0</v>
      </c>
      <c r="C142" s="63">
        <v>2975</v>
      </c>
      <c r="D142" s="30" t="s">
        <v>141</v>
      </c>
      <c r="E142" s="30">
        <f>SUM('eoy24'!E598:G598)</f>
        <v>0</v>
      </c>
      <c r="K142" s="61"/>
      <c r="L142" s="65"/>
      <c r="R142" s="61"/>
      <c r="W142" s="1"/>
      <c r="X142" s="1"/>
      <c r="Y142" s="1"/>
      <c r="Z142" s="1"/>
      <c r="AA142" s="1"/>
      <c r="AB142" s="1"/>
      <c r="AC142" s="90"/>
      <c r="AD142" s="85"/>
      <c r="AE142" s="1"/>
      <c r="AF142" s="1"/>
      <c r="AG142" s="1"/>
      <c r="AH142" s="111"/>
      <c r="AI142"/>
    </row>
    <row r="143" spans="1:35" ht="15" hidden="1" customHeight="1">
      <c r="A143" s="30">
        <f t="shared" ca="1" si="3"/>
        <v>0</v>
      </c>
      <c r="C143" s="63">
        <v>2976</v>
      </c>
      <c r="D143" s="30" t="s">
        <v>142</v>
      </c>
      <c r="E143" s="30">
        <f>SUM('eoy24'!E599:G599)</f>
        <v>0</v>
      </c>
      <c r="K143" s="61"/>
      <c r="L143" s="65"/>
      <c r="R143" s="61"/>
      <c r="W143" s="1"/>
      <c r="X143" s="1"/>
      <c r="Y143" s="1"/>
      <c r="Z143" s="1"/>
      <c r="AA143" s="1"/>
      <c r="AB143" s="1"/>
      <c r="AC143" s="90"/>
      <c r="AD143" s="85"/>
      <c r="AE143" s="1"/>
      <c r="AF143" s="1"/>
      <c r="AG143" s="1"/>
      <c r="AH143" s="111"/>
      <c r="AI143"/>
    </row>
    <row r="144" spans="1:35" ht="15" hidden="1" customHeight="1">
      <c r="A144" s="30">
        <f t="shared" ca="1" si="3"/>
        <v>0</v>
      </c>
      <c r="C144" s="63">
        <v>2977</v>
      </c>
      <c r="D144" s="30" t="s">
        <v>143</v>
      </c>
      <c r="E144" s="30">
        <f>SUM('eoy24'!E600:G600)</f>
        <v>0</v>
      </c>
      <c r="K144" s="61"/>
      <c r="L144" s="65"/>
      <c r="R144" s="61"/>
      <c r="W144" s="1"/>
      <c r="X144" s="1"/>
      <c r="Y144" s="1"/>
      <c r="Z144" s="1"/>
      <c r="AA144" s="1"/>
      <c r="AB144" s="1"/>
      <c r="AC144" s="90"/>
      <c r="AD144" s="85"/>
      <c r="AE144" s="1"/>
      <c r="AF144" s="1"/>
      <c r="AG144" s="1"/>
      <c r="AH144" s="111"/>
      <c r="AI144"/>
    </row>
    <row r="145" spans="1:35" ht="15" hidden="1" customHeight="1">
      <c r="A145" s="30">
        <f t="shared" ca="1" si="3"/>
        <v>0</v>
      </c>
      <c r="C145" s="63">
        <v>2980</v>
      </c>
      <c r="D145" s="30" t="s">
        <v>248</v>
      </c>
      <c r="E145" s="30">
        <f>SUM('eoy24'!E601:G601)</f>
        <v>0</v>
      </c>
      <c r="K145" s="61"/>
      <c r="L145" s="65"/>
      <c r="R145" s="61"/>
      <c r="W145" s="1"/>
      <c r="X145" s="1"/>
      <c r="Y145" s="1"/>
      <c r="Z145" s="1"/>
      <c r="AA145" s="1"/>
      <c r="AB145" s="1"/>
      <c r="AC145" s="90"/>
      <c r="AD145" s="85"/>
      <c r="AE145" s="1"/>
      <c r="AF145" s="1"/>
      <c r="AG145" s="1"/>
      <c r="AH145" s="111"/>
      <c r="AI145"/>
    </row>
    <row r="146" spans="1:35" ht="15" hidden="1" customHeight="1">
      <c r="A146" s="30">
        <f t="shared" ca="1" si="3"/>
        <v>0</v>
      </c>
      <c r="C146" s="63">
        <v>2982</v>
      </c>
      <c r="D146" s="30" t="s">
        <v>145</v>
      </c>
      <c r="E146" s="30">
        <f>SUM('eoy24'!E602:G602)</f>
        <v>0</v>
      </c>
      <c r="K146" s="61"/>
      <c r="L146" s="65"/>
      <c r="R146" s="61"/>
      <c r="W146" s="1"/>
      <c r="X146" s="1"/>
      <c r="Y146" s="1"/>
      <c r="Z146" s="1"/>
      <c r="AA146" s="1"/>
      <c r="AB146" s="1"/>
      <c r="AC146" s="90"/>
      <c r="AD146" s="85"/>
      <c r="AE146" s="1"/>
      <c r="AF146" s="1"/>
      <c r="AG146" s="1"/>
      <c r="AH146" s="111"/>
      <c r="AI146"/>
    </row>
    <row r="147" spans="1:35" ht="15" hidden="1" customHeight="1">
      <c r="A147" s="30">
        <f t="shared" ca="1" si="3"/>
        <v>0</v>
      </c>
      <c r="C147" s="63">
        <v>2984</v>
      </c>
      <c r="D147" s="30" t="s">
        <v>146</v>
      </c>
      <c r="E147" s="30">
        <f>SUM('eoy24'!E603:G603)</f>
        <v>0</v>
      </c>
      <c r="K147" s="61"/>
      <c r="L147" s="65"/>
      <c r="R147" s="61"/>
      <c r="W147" s="1"/>
      <c r="X147" s="1"/>
      <c r="Y147" s="1"/>
      <c r="Z147" s="1"/>
      <c r="AA147" s="1"/>
      <c r="AB147" s="1"/>
      <c r="AC147" s="90"/>
      <c r="AD147" s="85"/>
      <c r="AE147" s="1"/>
      <c r="AF147" s="1"/>
      <c r="AG147" s="1"/>
      <c r="AH147" s="111"/>
      <c r="AI147"/>
    </row>
    <row r="148" spans="1:35" ht="15" hidden="1" customHeight="1">
      <c r="A148" s="30">
        <f t="shared" ca="1" si="3"/>
        <v>0</v>
      </c>
      <c r="C148" s="63">
        <v>2991</v>
      </c>
      <c r="D148" s="30" t="s">
        <v>147</v>
      </c>
      <c r="E148" s="30">
        <f>SUM('eoy24'!E604:G604)</f>
        <v>0</v>
      </c>
      <c r="K148" s="61"/>
      <c r="L148" s="65"/>
      <c r="R148" s="61"/>
      <c r="W148" s="1"/>
      <c r="X148" s="1"/>
      <c r="Y148" s="1"/>
      <c r="Z148" s="1"/>
      <c r="AA148" s="1"/>
      <c r="AB148" s="1"/>
      <c r="AC148" s="90"/>
      <c r="AD148" s="85"/>
      <c r="AE148" s="1"/>
      <c r="AF148" s="1"/>
      <c r="AG148" s="1"/>
      <c r="AH148" s="111"/>
      <c r="AI148"/>
    </row>
    <row r="149" spans="1:35" ht="15" hidden="1" customHeight="1">
      <c r="A149" s="30">
        <f t="shared" ca="1" si="3"/>
        <v>0</v>
      </c>
      <c r="C149" s="63">
        <v>2992</v>
      </c>
      <c r="D149" s="30" t="s">
        <v>148</v>
      </c>
      <c r="E149" s="30">
        <f>SUM('eoy24'!E605:G605)</f>
        <v>0</v>
      </c>
      <c r="K149" s="61"/>
      <c r="L149" s="65"/>
      <c r="R149" s="61"/>
      <c r="W149" s="1"/>
      <c r="X149" s="1"/>
      <c r="Y149" s="1"/>
      <c r="Z149" s="1"/>
      <c r="AA149" s="1"/>
      <c r="AB149" s="1"/>
      <c r="AC149" s="90"/>
      <c r="AD149" s="85"/>
      <c r="AE149" s="1"/>
      <c r="AF149" s="1"/>
      <c r="AG149" s="1"/>
      <c r="AH149" s="111"/>
      <c r="AI149"/>
    </row>
    <row r="150" spans="1:35" ht="15" hidden="1" customHeight="1">
      <c r="A150" s="30">
        <f t="shared" ca="1" si="3"/>
        <v>0</v>
      </c>
      <c r="C150" s="63">
        <v>2993</v>
      </c>
      <c r="D150" s="30" t="s">
        <v>150</v>
      </c>
      <c r="E150" s="30">
        <f>SUM('eoy24'!E606:G606)</f>
        <v>0</v>
      </c>
      <c r="K150" s="61"/>
      <c r="L150" s="65"/>
      <c r="R150" s="61"/>
      <c r="W150" s="1"/>
      <c r="X150" s="1"/>
      <c r="Y150" s="1"/>
      <c r="Z150" s="1"/>
      <c r="AA150" s="1"/>
      <c r="AB150" s="1"/>
      <c r="AC150" s="90"/>
      <c r="AD150" s="85"/>
      <c r="AE150" s="1"/>
      <c r="AF150" s="1"/>
      <c r="AG150" s="1"/>
      <c r="AH150" s="111"/>
      <c r="AI150"/>
    </row>
    <row r="151" spans="1:35" ht="15" hidden="1" customHeight="1">
      <c r="A151" s="30">
        <f t="shared" ca="1" si="3"/>
        <v>0</v>
      </c>
      <c r="C151" s="63">
        <v>2994</v>
      </c>
      <c r="D151" s="30" t="s">
        <v>151</v>
      </c>
      <c r="E151" s="30">
        <f>SUM('eoy24'!E607:G607)</f>
        <v>0</v>
      </c>
      <c r="K151" s="61"/>
      <c r="L151" s="65"/>
      <c r="R151" s="61"/>
      <c r="W151" s="1"/>
      <c r="X151" s="1"/>
      <c r="Y151" s="1"/>
      <c r="Z151" s="1"/>
      <c r="AA151" s="1"/>
      <c r="AB151" s="1"/>
      <c r="AC151" s="90"/>
      <c r="AD151" s="85"/>
      <c r="AE151" s="1"/>
      <c r="AF151" s="1"/>
      <c r="AG151" s="1"/>
      <c r="AH151" s="111"/>
      <c r="AI151"/>
    </row>
    <row r="152" spans="1:35" ht="15" hidden="1" customHeight="1">
      <c r="A152" s="30">
        <f t="shared" ca="1" si="3"/>
        <v>0</v>
      </c>
      <c r="C152" s="63">
        <v>2995</v>
      </c>
      <c r="D152" s="30" t="s">
        <v>197</v>
      </c>
      <c r="E152" s="30">
        <f>SUM('eoy24'!E608:G608)</f>
        <v>0</v>
      </c>
      <c r="K152" s="61"/>
      <c r="L152" s="65"/>
      <c r="R152" s="61"/>
      <c r="W152" s="1"/>
      <c r="X152" s="1"/>
      <c r="Y152" s="1"/>
      <c r="Z152" s="1"/>
      <c r="AA152" s="1"/>
      <c r="AB152" s="1"/>
      <c r="AC152" s="90"/>
      <c r="AD152" s="85"/>
      <c r="AE152" s="1"/>
      <c r="AF152" s="1"/>
      <c r="AG152" s="1"/>
      <c r="AH152" s="111"/>
      <c r="AI152"/>
    </row>
    <row r="153" spans="1:35" ht="15" hidden="1" customHeight="1">
      <c r="A153" s="30">
        <f t="shared" ca="1" si="3"/>
        <v>0</v>
      </c>
      <c r="C153" s="63">
        <v>3012</v>
      </c>
      <c r="D153" s="30" t="s">
        <v>249</v>
      </c>
      <c r="E153" s="30">
        <f>SUM('eoy24'!E609:G609)</f>
        <v>0</v>
      </c>
      <c r="K153" s="61"/>
      <c r="L153" s="65"/>
      <c r="R153" s="61"/>
      <c r="W153" s="1"/>
      <c r="X153" s="1"/>
      <c r="Y153" s="1"/>
      <c r="Z153" s="1"/>
      <c r="AA153" s="1"/>
      <c r="AB153" s="1"/>
      <c r="AC153" s="90"/>
      <c r="AD153" s="85"/>
      <c r="AE153" s="1"/>
      <c r="AF153" s="1"/>
      <c r="AG153" s="1"/>
      <c r="AH153" s="111"/>
      <c r="AI153"/>
    </row>
    <row r="154" spans="1:35" ht="15" hidden="1" customHeight="1">
      <c r="A154" s="30">
        <f t="shared" ca="1" si="3"/>
        <v>0</v>
      </c>
      <c r="C154" s="63">
        <v>3014</v>
      </c>
      <c r="D154" s="30" t="s">
        <v>250</v>
      </c>
      <c r="E154" s="30">
        <f>SUM('eoy24'!E610:G610)</f>
        <v>0</v>
      </c>
      <c r="K154" s="61"/>
      <c r="L154" s="65"/>
      <c r="R154" s="61"/>
      <c r="W154" s="1"/>
      <c r="X154" s="1"/>
      <c r="Y154" s="1"/>
      <c r="Z154" s="1"/>
      <c r="AA154" s="1"/>
      <c r="AB154" s="1"/>
      <c r="AC154" s="90"/>
      <c r="AD154" s="85"/>
      <c r="AE154" s="1"/>
      <c r="AF154" s="1"/>
      <c r="AG154" s="1"/>
      <c r="AH154" s="111"/>
      <c r="AI154"/>
    </row>
    <row r="155" spans="1:35" ht="15" hidden="1" customHeight="1">
      <c r="A155" s="30">
        <f t="shared" ca="1" si="3"/>
        <v>0</v>
      </c>
      <c r="C155" s="63">
        <v>3022</v>
      </c>
      <c r="D155" s="30" t="s">
        <v>251</v>
      </c>
      <c r="E155" s="30">
        <f>SUM('eoy24'!E611:G611)</f>
        <v>0</v>
      </c>
      <c r="K155" s="61"/>
      <c r="L155" s="65"/>
      <c r="R155" s="61"/>
      <c r="W155" s="1"/>
      <c r="X155" s="1"/>
      <c r="Y155" s="1"/>
      <c r="Z155" s="1"/>
      <c r="AA155" s="1"/>
      <c r="AB155" s="1"/>
      <c r="AC155" s="90"/>
      <c r="AD155" s="85"/>
      <c r="AE155" s="1"/>
      <c r="AF155" s="1"/>
      <c r="AG155" s="1"/>
      <c r="AH155" s="111"/>
      <c r="AI155"/>
    </row>
    <row r="156" spans="1:35" ht="15" hidden="1" customHeight="1">
      <c r="A156" s="30">
        <f t="shared" ca="1" si="3"/>
        <v>0</v>
      </c>
      <c r="C156" s="63">
        <v>3024</v>
      </c>
      <c r="D156" s="30" t="s">
        <v>252</v>
      </c>
      <c r="E156" s="30">
        <f>SUM('eoy24'!E612:G612)</f>
        <v>0</v>
      </c>
      <c r="K156" s="61"/>
      <c r="L156" s="65"/>
      <c r="R156" s="61"/>
      <c r="W156" s="1"/>
      <c r="X156" s="1"/>
      <c r="Y156" s="1"/>
      <c r="Z156" s="1"/>
      <c r="AA156" s="1"/>
      <c r="AB156" s="1"/>
      <c r="AC156" s="90"/>
      <c r="AD156" s="85"/>
      <c r="AE156" s="1"/>
      <c r="AF156" s="1"/>
      <c r="AG156" s="1"/>
      <c r="AH156" s="111"/>
      <c r="AI156"/>
    </row>
    <row r="157" spans="1:35" ht="15" hidden="1" customHeight="1">
      <c r="A157" s="30">
        <f t="shared" ca="1" si="3"/>
        <v>0</v>
      </c>
      <c r="C157" s="63">
        <v>3026</v>
      </c>
      <c r="D157" s="30" t="s">
        <v>158</v>
      </c>
      <c r="E157" s="30">
        <f>SUM('eoy24'!E613:G613)</f>
        <v>0</v>
      </c>
      <c r="K157" s="61"/>
      <c r="L157" s="65"/>
      <c r="R157" s="61"/>
      <c r="W157" s="1"/>
      <c r="X157" s="1"/>
      <c r="Y157" s="1"/>
      <c r="Z157" s="1"/>
      <c r="AA157" s="1"/>
      <c r="AB157" s="1"/>
      <c r="AC157" s="90"/>
      <c r="AD157" s="85"/>
      <c r="AE157" s="1"/>
      <c r="AF157" s="1"/>
      <c r="AG157" s="1"/>
      <c r="AH157" s="111"/>
      <c r="AI157"/>
    </row>
    <row r="158" spans="1:35" ht="15" hidden="1" customHeight="1">
      <c r="A158" s="30">
        <f t="shared" ca="1" si="3"/>
        <v>0</v>
      </c>
      <c r="C158" s="63">
        <v>3028</v>
      </c>
      <c r="D158" s="30" t="s">
        <v>159</v>
      </c>
      <c r="E158" s="30">
        <f>SUM('eoy24'!E614:G614)</f>
        <v>0</v>
      </c>
      <c r="R158" s="61"/>
      <c r="W158" s="1"/>
      <c r="X158" s="1"/>
      <c r="Y158" s="1"/>
      <c r="Z158" s="1"/>
      <c r="AA158" s="1"/>
      <c r="AB158" s="1"/>
      <c r="AC158" s="90"/>
      <c r="AD158" s="85"/>
      <c r="AE158" s="1"/>
      <c r="AF158" s="1"/>
      <c r="AG158" s="1"/>
      <c r="AH158" s="111"/>
      <c r="AI158"/>
    </row>
    <row r="159" spans="1:35" ht="15" hidden="1" customHeight="1">
      <c r="A159" s="30">
        <f t="shared" ca="1" si="3"/>
        <v>0</v>
      </c>
      <c r="C159" s="63">
        <v>3030</v>
      </c>
      <c r="D159" s="30" t="s">
        <v>253</v>
      </c>
      <c r="E159" s="30">
        <f>SUM('eoy24'!E615:G615)</f>
        <v>0</v>
      </c>
      <c r="R159" s="61"/>
      <c r="W159" s="1"/>
      <c r="X159" s="1"/>
      <c r="Y159" s="1"/>
      <c r="Z159" s="1"/>
      <c r="AA159" s="1"/>
      <c r="AB159" s="1"/>
      <c r="AC159" s="90"/>
      <c r="AD159" s="85"/>
      <c r="AE159" s="1"/>
      <c r="AF159" s="1"/>
      <c r="AG159" s="1"/>
      <c r="AH159" s="111"/>
      <c r="AI159"/>
    </row>
    <row r="160" spans="1:35" ht="15" hidden="1" customHeight="1">
      <c r="A160" s="30">
        <f t="shared" ca="1" si="3"/>
        <v>0</v>
      </c>
      <c r="C160" s="63">
        <v>3042</v>
      </c>
      <c r="D160" s="30" t="s">
        <v>254</v>
      </c>
      <c r="E160" s="30">
        <f>SUM('eoy24'!E616:G616)</f>
        <v>0</v>
      </c>
      <c r="R160" s="61"/>
      <c r="W160" s="1"/>
      <c r="X160" s="1"/>
      <c r="Y160" s="1"/>
      <c r="Z160" s="1"/>
      <c r="AA160" s="1"/>
      <c r="AB160" s="1"/>
      <c r="AC160" s="90"/>
      <c r="AD160" s="85"/>
      <c r="AE160" s="1"/>
      <c r="AF160" s="1"/>
      <c r="AG160" s="1"/>
      <c r="AH160" s="111"/>
      <c r="AI160"/>
    </row>
    <row r="161" spans="1:35" ht="15" hidden="1" customHeight="1">
      <c r="A161" s="30">
        <f t="shared" ref="A161:A175" ca="1" si="4">IF(AND(E161&gt;0,E$176=1),1,0)</f>
        <v>0</v>
      </c>
      <c r="C161" s="63">
        <v>3044</v>
      </c>
      <c r="D161" s="30" t="s">
        <v>255</v>
      </c>
      <c r="E161" s="30">
        <f>SUM('eoy24'!E617:G617)</f>
        <v>0</v>
      </c>
      <c r="R161" s="61"/>
      <c r="W161" s="1"/>
      <c r="X161" s="1"/>
      <c r="Y161" s="1"/>
      <c r="Z161" s="1"/>
      <c r="AA161" s="1"/>
      <c r="AB161" s="1"/>
      <c r="AC161" s="90"/>
      <c r="AD161" s="85"/>
      <c r="AE161" s="1"/>
      <c r="AF161" s="1"/>
      <c r="AG161" s="1"/>
      <c r="AH161" s="111"/>
      <c r="AI161"/>
    </row>
    <row r="162" spans="1:35" ht="15" hidden="1" customHeight="1">
      <c r="A162" s="30">
        <f t="shared" ca="1" si="4"/>
        <v>0</v>
      </c>
      <c r="C162" s="63">
        <v>3046</v>
      </c>
      <c r="D162" s="30" t="s">
        <v>256</v>
      </c>
      <c r="E162" s="30">
        <f>SUM('eoy24'!E618:G618)</f>
        <v>0</v>
      </c>
      <c r="R162" s="61"/>
      <c r="W162" s="1"/>
      <c r="X162" s="1"/>
      <c r="Y162" s="1"/>
      <c r="Z162" s="1"/>
      <c r="AA162" s="1"/>
      <c r="AB162" s="1"/>
      <c r="AC162" s="90"/>
      <c r="AD162" s="85"/>
      <c r="AE162" s="1"/>
      <c r="AF162" s="1"/>
      <c r="AG162" s="1"/>
      <c r="AH162" s="111"/>
      <c r="AI162"/>
    </row>
    <row r="163" spans="1:35" ht="15" hidden="1" customHeight="1">
      <c r="A163" s="30">
        <f t="shared" ca="1" si="4"/>
        <v>0</v>
      </c>
      <c r="C163" s="63">
        <v>3048</v>
      </c>
      <c r="D163" s="30" t="s">
        <v>257</v>
      </c>
      <c r="E163" s="30">
        <f>SUM('eoy24'!E619:G619)</f>
        <v>0</v>
      </c>
      <c r="R163" s="61"/>
      <c r="W163" s="1"/>
      <c r="X163" s="1"/>
      <c r="Y163" s="1"/>
      <c r="Z163" s="1"/>
      <c r="AA163" s="1"/>
      <c r="AB163" s="1"/>
      <c r="AC163" s="90"/>
      <c r="AD163" s="85"/>
      <c r="AE163" s="1"/>
      <c r="AF163" s="1"/>
      <c r="AG163" s="1"/>
      <c r="AH163" s="111"/>
      <c r="AI163"/>
    </row>
    <row r="164" spans="1:35" ht="15" hidden="1" customHeight="1">
      <c r="A164" s="30">
        <f t="shared" ca="1" si="4"/>
        <v>0</v>
      </c>
      <c r="C164" s="63">
        <v>3052</v>
      </c>
      <c r="D164" s="30" t="s">
        <v>165</v>
      </c>
      <c r="E164" s="30">
        <f>SUM('eoy24'!E620:G620)</f>
        <v>0</v>
      </c>
      <c r="R164" s="61"/>
      <c r="W164" s="1"/>
      <c r="X164" s="1"/>
      <c r="Y164" s="1"/>
      <c r="Z164" s="1"/>
      <c r="AA164" s="1"/>
      <c r="AB164" s="1"/>
      <c r="AC164" s="90"/>
      <c r="AD164" s="85"/>
      <c r="AE164" s="1"/>
      <c r="AF164" s="1"/>
      <c r="AG164" s="1"/>
      <c r="AH164" s="111"/>
      <c r="AI164"/>
    </row>
    <row r="165" spans="1:35" ht="15" hidden="1" customHeight="1">
      <c r="A165" s="30">
        <f t="shared" ca="1" si="4"/>
        <v>0</v>
      </c>
      <c r="C165" s="63">
        <v>3054</v>
      </c>
      <c r="D165" s="30" t="s">
        <v>166</v>
      </c>
      <c r="E165" s="30">
        <f>SUM('eoy24'!E621:G621)</f>
        <v>0</v>
      </c>
      <c r="R165" s="61"/>
      <c r="W165" s="1"/>
      <c r="X165" s="1"/>
      <c r="Y165" s="1"/>
      <c r="Z165" s="1"/>
      <c r="AA165" s="1"/>
      <c r="AB165" s="1"/>
      <c r="AC165" s="90"/>
      <c r="AD165" s="85"/>
      <c r="AE165" s="1"/>
      <c r="AF165" s="1"/>
      <c r="AG165" s="1"/>
      <c r="AH165" s="111"/>
      <c r="AI165"/>
    </row>
    <row r="166" spans="1:35" ht="15" hidden="1" customHeight="1">
      <c r="A166" s="30">
        <f t="shared" ca="1" si="4"/>
        <v>0</v>
      </c>
      <c r="C166" s="63">
        <v>3056</v>
      </c>
      <c r="D166" s="30" t="s">
        <v>167</v>
      </c>
      <c r="E166" s="30">
        <f>SUM('eoy24'!E622:G622)</f>
        <v>0</v>
      </c>
      <c r="R166" s="61"/>
      <c r="W166" s="1"/>
      <c r="X166" s="1"/>
      <c r="Y166" s="1"/>
      <c r="Z166" s="1"/>
      <c r="AA166" s="1"/>
      <c r="AB166" s="1"/>
      <c r="AC166" s="90"/>
      <c r="AD166" s="85"/>
      <c r="AE166" s="1"/>
      <c r="AF166" s="1"/>
      <c r="AG166" s="1"/>
      <c r="AH166" s="111"/>
      <c r="AI166"/>
    </row>
    <row r="167" spans="1:35" ht="15" hidden="1" customHeight="1">
      <c r="A167" s="30">
        <f t="shared" ca="1" si="4"/>
        <v>0</v>
      </c>
      <c r="C167" s="63">
        <v>3058</v>
      </c>
      <c r="D167" s="30" t="s">
        <v>168</v>
      </c>
      <c r="E167" s="30">
        <f>SUM('eoy24'!E623:G623)</f>
        <v>0</v>
      </c>
      <c r="R167" s="61"/>
      <c r="W167" s="1"/>
      <c r="X167" s="1"/>
      <c r="Y167" s="1"/>
      <c r="Z167" s="1"/>
      <c r="AA167" s="1"/>
      <c r="AB167" s="1"/>
      <c r="AC167" s="90"/>
      <c r="AD167" s="85"/>
      <c r="AE167" s="1"/>
      <c r="AF167" s="1"/>
      <c r="AG167" s="1"/>
      <c r="AH167" s="111"/>
      <c r="AI167"/>
    </row>
    <row r="168" spans="1:35" ht="15" hidden="1" customHeight="1">
      <c r="A168" s="30">
        <f t="shared" ca="1" si="4"/>
        <v>0</v>
      </c>
      <c r="C168" s="63">
        <v>3062</v>
      </c>
      <c r="D168" s="30" t="s">
        <v>170</v>
      </c>
      <c r="E168" s="30">
        <f>SUM('eoy24'!E624:G624)</f>
        <v>0</v>
      </c>
      <c r="R168" s="61"/>
      <c r="W168" s="1"/>
      <c r="X168" s="1"/>
      <c r="Y168" s="1"/>
      <c r="Z168" s="1"/>
      <c r="AA168" s="1"/>
      <c r="AB168" s="1"/>
      <c r="AC168" s="90"/>
      <c r="AD168" s="85"/>
      <c r="AE168" s="1"/>
      <c r="AF168" s="1"/>
      <c r="AG168" s="1"/>
      <c r="AH168" s="111"/>
      <c r="AI168"/>
    </row>
    <row r="169" spans="1:35" ht="15" hidden="1" customHeight="1">
      <c r="A169" s="30">
        <f t="shared" ca="1" si="4"/>
        <v>0</v>
      </c>
      <c r="C169" s="63">
        <v>3064</v>
      </c>
      <c r="D169" s="30" t="s">
        <v>171</v>
      </c>
      <c r="E169" s="30">
        <f>SUM('eoy24'!E625:G625)</f>
        <v>0</v>
      </c>
      <c r="R169" s="61"/>
      <c r="W169" s="1"/>
      <c r="X169" s="1"/>
      <c r="Y169" s="1"/>
      <c r="Z169" s="1"/>
      <c r="AA169" s="1"/>
      <c r="AB169" s="1"/>
      <c r="AC169" s="90"/>
      <c r="AD169" s="85"/>
      <c r="AE169" s="1"/>
      <c r="AF169" s="1"/>
      <c r="AG169" s="1"/>
      <c r="AH169" s="111"/>
      <c r="AI169"/>
    </row>
    <row r="170" spans="1:35" ht="15" hidden="1" customHeight="1">
      <c r="A170" s="30">
        <f t="shared" ca="1" si="4"/>
        <v>0</v>
      </c>
      <c r="C170" s="63">
        <v>3066</v>
      </c>
      <c r="D170" s="30" t="s">
        <v>172</v>
      </c>
      <c r="E170" s="30">
        <f>SUM('eoy24'!E626:G626)</f>
        <v>0</v>
      </c>
      <c r="R170" s="61"/>
      <c r="W170" s="1"/>
      <c r="X170" s="1"/>
      <c r="Y170" s="1"/>
      <c r="Z170" s="1"/>
      <c r="AA170" s="1"/>
      <c r="AB170" s="1"/>
      <c r="AC170" s="90"/>
      <c r="AD170" s="85"/>
      <c r="AE170" s="1"/>
      <c r="AF170" s="1"/>
      <c r="AG170" s="1"/>
      <c r="AH170" s="111"/>
      <c r="AI170"/>
    </row>
    <row r="171" spans="1:35" ht="15" hidden="1" customHeight="1">
      <c r="A171" s="30">
        <f t="shared" ca="1" si="4"/>
        <v>0</v>
      </c>
      <c r="C171" s="63">
        <v>3072</v>
      </c>
      <c r="D171" s="30" t="s">
        <v>174</v>
      </c>
      <c r="E171" s="30">
        <f>SUM('eoy24'!E627:G627)</f>
        <v>0</v>
      </c>
      <c r="R171" s="61"/>
      <c r="W171" s="1"/>
      <c r="X171" s="1"/>
      <c r="Y171" s="1"/>
      <c r="Z171" s="1"/>
      <c r="AA171" s="1"/>
      <c r="AB171" s="1"/>
      <c r="AC171" s="90"/>
      <c r="AD171" s="85"/>
      <c r="AE171" s="1"/>
      <c r="AF171" s="1"/>
      <c r="AG171" s="1"/>
      <c r="AH171" s="111"/>
      <c r="AI171"/>
    </row>
    <row r="172" spans="1:35" ht="15" hidden="1" customHeight="1">
      <c r="A172" s="30">
        <f t="shared" ca="1" si="4"/>
        <v>0</v>
      </c>
      <c r="C172" s="63">
        <v>3075</v>
      </c>
      <c r="D172" s="30" t="s">
        <v>177</v>
      </c>
      <c r="E172" s="30">
        <f>SUM('eoy24'!E628:G628)</f>
        <v>0</v>
      </c>
      <c r="M172" s="1"/>
      <c r="N172" s="1"/>
      <c r="R172" s="61"/>
      <c r="W172" s="1"/>
      <c r="X172" s="1"/>
      <c r="Y172" s="1"/>
      <c r="Z172" s="1"/>
      <c r="AA172" s="1"/>
      <c r="AB172" s="1"/>
      <c r="AC172" s="90"/>
      <c r="AD172" s="85"/>
      <c r="AE172" s="1"/>
      <c r="AF172" s="1"/>
      <c r="AG172" s="1"/>
      <c r="AH172" s="111"/>
      <c r="AI172"/>
    </row>
    <row r="173" spans="1:35" ht="15" hidden="1" customHeight="1">
      <c r="A173" s="30">
        <f t="shared" ca="1" si="4"/>
        <v>0</v>
      </c>
      <c r="C173" s="63">
        <v>3076</v>
      </c>
      <c r="D173" s="30" t="s">
        <v>179</v>
      </c>
      <c r="E173" s="30">
        <f>SUM('eoy24'!E629:G629)</f>
        <v>0</v>
      </c>
      <c r="M173" s="1"/>
      <c r="N173" s="132"/>
      <c r="R173" s="61"/>
      <c r="W173" s="1"/>
      <c r="X173" s="1"/>
      <c r="Y173" s="1"/>
      <c r="Z173" s="1"/>
      <c r="AA173" s="1"/>
      <c r="AB173" s="1"/>
      <c r="AC173" s="90"/>
      <c r="AD173" s="85"/>
      <c r="AE173" s="1"/>
      <c r="AF173" s="1"/>
      <c r="AG173" s="1"/>
      <c r="AH173" s="111"/>
      <c r="AI173"/>
    </row>
    <row r="174" spans="1:35" ht="15" hidden="1" customHeight="1">
      <c r="A174" s="30">
        <f t="shared" ca="1" si="4"/>
        <v>0</v>
      </c>
      <c r="C174" s="63">
        <v>3077</v>
      </c>
      <c r="D174" s="30" t="s">
        <v>180</v>
      </c>
      <c r="E174" s="30">
        <f>SUM('eoy24'!E630:G630)</f>
        <v>0</v>
      </c>
      <c r="M174" s="1"/>
      <c r="N174" s="133"/>
      <c r="R174" s="61"/>
      <c r="W174" s="1"/>
      <c r="X174" s="1"/>
      <c r="Y174" s="1"/>
      <c r="Z174" s="1"/>
      <c r="AA174" s="1"/>
      <c r="AB174" s="1"/>
      <c r="AC174" s="90"/>
      <c r="AD174" s="85"/>
      <c r="AE174" s="1"/>
      <c r="AF174" s="1"/>
      <c r="AG174" s="1"/>
      <c r="AH174" s="111"/>
      <c r="AI174"/>
    </row>
    <row r="175" spans="1:35" ht="15" hidden="1" customHeight="1">
      <c r="A175" s="30">
        <f t="shared" ca="1" si="4"/>
        <v>0</v>
      </c>
      <c r="C175" s="63">
        <v>3078</v>
      </c>
      <c r="D175" s="30" t="s">
        <v>181</v>
      </c>
      <c r="E175" s="30">
        <f>SUM('eoy24'!E631:G631)</f>
        <v>0</v>
      </c>
      <c r="M175" s="1"/>
      <c r="N175" s="133"/>
      <c r="O175" s="1"/>
      <c r="P175" s="1"/>
      <c r="Q175" s="1"/>
      <c r="R175" s="61"/>
      <c r="W175" s="1"/>
      <c r="X175" s="1"/>
      <c r="Y175" s="1"/>
      <c r="Z175" s="1"/>
      <c r="AA175" s="1"/>
      <c r="AB175" s="1"/>
      <c r="AC175" s="90"/>
      <c r="AD175" s="85"/>
      <c r="AE175" s="1"/>
      <c r="AF175" s="1"/>
      <c r="AG175" s="1"/>
      <c r="AH175" s="111"/>
      <c r="AI175"/>
    </row>
    <row r="176" spans="1:35" ht="32.25" hidden="1" customHeight="1">
      <c r="A176" s="120">
        <f ca="1">IF(OR(AND(E176&gt;0,I176=0),AND(I176&gt;0,E176=0)),1,0)</f>
        <v>0</v>
      </c>
      <c r="B176" s="120"/>
      <c r="C176" s="119" t="s">
        <v>899</v>
      </c>
      <c r="D176" s="120" t="s">
        <v>900</v>
      </c>
      <c r="E176" s="120">
        <f ca="1">SUM('eoy24'!E632:G632)</f>
        <v>928740</v>
      </c>
      <c r="F176" s="120"/>
      <c r="G176" s="527">
        <v>300</v>
      </c>
      <c r="H176" s="527" t="s">
        <v>901</v>
      </c>
      <c r="I176" s="120">
        <f>'eoy24'!J38</f>
        <v>1616052</v>
      </c>
      <c r="M176" s="1"/>
      <c r="N176" s="133"/>
      <c r="O176" s="132"/>
      <c r="P176" s="132"/>
      <c r="Q176" s="132"/>
      <c r="W176" s="1"/>
      <c r="X176" s="1"/>
      <c r="Y176" s="1"/>
      <c r="Z176" s="1"/>
      <c r="AA176" s="1"/>
      <c r="AB176" s="1"/>
      <c r="AC176" s="90"/>
      <c r="AD176" s="85"/>
      <c r="AE176" s="1"/>
      <c r="AF176" s="1"/>
      <c r="AG176" s="1"/>
      <c r="AH176" s="111"/>
      <c r="AI176"/>
    </row>
    <row r="177" spans="1:35" ht="15" hidden="1" customHeight="1">
      <c r="A177" s="30">
        <f ca="1">IF(A$262=1,1,0)</f>
        <v>0</v>
      </c>
      <c r="C177" s="702" t="s">
        <v>902</v>
      </c>
      <c r="D177" s="216"/>
      <c r="E177" s="216"/>
      <c r="F177" s="527"/>
      <c r="G177" s="216" t="s">
        <v>903</v>
      </c>
      <c r="H177" s="216"/>
      <c r="I177" s="216"/>
      <c r="M177" s="1"/>
      <c r="N177" s="133"/>
      <c r="O177" s="133"/>
      <c r="P177" s="133"/>
      <c r="Q177" s="133"/>
      <c r="W177" s="1"/>
      <c r="X177" s="1"/>
      <c r="Y177" s="1"/>
      <c r="Z177" s="1"/>
      <c r="AA177" s="1"/>
      <c r="AB177" s="1"/>
      <c r="AC177" s="90"/>
      <c r="AD177" s="85"/>
      <c r="AE177" s="1"/>
      <c r="AF177" s="1"/>
      <c r="AG177" s="1"/>
      <c r="AH177" s="111"/>
      <c r="AI177"/>
    </row>
    <row r="178" spans="1:35" ht="15" hidden="1" customHeight="1">
      <c r="A178" s="30">
        <f ca="1">IF(A$262=1,1,0)</f>
        <v>0</v>
      </c>
      <c r="B178" s="72"/>
      <c r="C178" s="122" t="s">
        <v>904</v>
      </c>
      <c r="D178" s="706"/>
      <c r="E178" s="706"/>
      <c r="F178" s="215"/>
      <c r="G178" s="131" t="s">
        <v>905</v>
      </c>
      <c r="H178" s="131"/>
      <c r="I178" s="706"/>
      <c r="M178" s="1"/>
      <c r="N178" s="133"/>
      <c r="O178" s="133"/>
      <c r="P178" s="133"/>
      <c r="Q178" s="133"/>
      <c r="W178" s="1"/>
      <c r="X178" s="1"/>
      <c r="Y178" s="1"/>
      <c r="Z178" s="1"/>
      <c r="AA178" s="1"/>
      <c r="AB178" s="1"/>
      <c r="AC178" s="90"/>
      <c r="AD178" s="85"/>
      <c r="AE178" s="1"/>
      <c r="AF178" s="1"/>
      <c r="AG178" s="1"/>
      <c r="AH178" s="111"/>
      <c r="AI178"/>
    </row>
    <row r="179" spans="1:35" ht="15" hidden="1" customHeight="1">
      <c r="A179" s="30">
        <f ca="1">IF(A$262=1,1,0)</f>
        <v>0</v>
      </c>
      <c r="B179" s="72"/>
      <c r="C179" s="703" t="s">
        <v>38</v>
      </c>
      <c r="D179" s="704" t="s">
        <v>895</v>
      </c>
      <c r="E179" s="704" t="s">
        <v>864</v>
      </c>
      <c r="F179" s="215"/>
      <c r="G179" s="704" t="s">
        <v>38</v>
      </c>
      <c r="H179" s="704" t="s">
        <v>863</v>
      </c>
      <c r="I179" s="704" t="s">
        <v>864</v>
      </c>
      <c r="M179" s="1"/>
      <c r="N179" s="133"/>
      <c r="O179" s="133"/>
      <c r="P179" s="133"/>
      <c r="Q179" s="133"/>
      <c r="W179" s="1"/>
      <c r="X179" s="1"/>
      <c r="Y179" s="1"/>
      <c r="Z179" s="1"/>
      <c r="AA179" s="1"/>
      <c r="AB179" s="1"/>
      <c r="AC179" s="90"/>
      <c r="AD179" s="85"/>
      <c r="AE179" s="1"/>
      <c r="AF179" s="1"/>
      <c r="AG179" s="1"/>
      <c r="AH179" s="111"/>
      <c r="AI179"/>
    </row>
    <row r="180" spans="1:35" ht="15" hidden="1" customHeight="1">
      <c r="A180" s="30">
        <f ca="1">IF(AND(A$262&gt;0,E180&gt;0),1,0)</f>
        <v>0</v>
      </c>
      <c r="C180" s="63">
        <v>2801</v>
      </c>
      <c r="D180" s="30" t="s">
        <v>83</v>
      </c>
      <c r="E180" s="30">
        <f>'eoy24'!H547</f>
        <v>0</v>
      </c>
      <c r="G180" s="61"/>
      <c r="M180" s="1"/>
      <c r="N180" s="133"/>
      <c r="O180" s="133"/>
      <c r="P180" s="133"/>
      <c r="Q180" s="133"/>
      <c r="W180" s="1"/>
      <c r="X180" s="1"/>
      <c r="Y180" s="1"/>
      <c r="Z180" s="1"/>
      <c r="AA180" s="1"/>
      <c r="AB180" s="1"/>
      <c r="AC180" s="90"/>
      <c r="AD180" s="85"/>
      <c r="AE180" s="1"/>
      <c r="AF180" s="1"/>
      <c r="AG180" s="1"/>
      <c r="AH180" s="111"/>
      <c r="AI180"/>
    </row>
    <row r="181" spans="1:35" ht="15" hidden="1" customHeight="1">
      <c r="A181" s="30">
        <f t="shared" ref="A181:A244" ca="1" si="5">IF(AND(A$262&gt;0,E181&gt;0),1,0)</f>
        <v>0</v>
      </c>
      <c r="C181" s="63">
        <v>2802</v>
      </c>
      <c r="D181" s="30" t="s">
        <v>90</v>
      </c>
      <c r="E181" s="30">
        <f>'eoy24'!H548</f>
        <v>0</v>
      </c>
      <c r="G181" s="61"/>
      <c r="M181" s="1"/>
      <c r="N181" s="133"/>
      <c r="O181" s="133"/>
      <c r="P181" s="133"/>
      <c r="Q181" s="133"/>
      <c r="W181" s="1"/>
      <c r="X181" s="1"/>
      <c r="Y181" s="1"/>
      <c r="Z181" s="1"/>
      <c r="AA181" s="1"/>
      <c r="AB181" s="1"/>
      <c r="AC181" s="90"/>
      <c r="AD181" s="85"/>
      <c r="AE181" s="1"/>
      <c r="AF181" s="1"/>
      <c r="AG181" s="1"/>
      <c r="AH181" s="111"/>
      <c r="AI181"/>
    </row>
    <row r="182" spans="1:35" ht="15" hidden="1" customHeight="1">
      <c r="A182" s="30">
        <f t="shared" ca="1" si="5"/>
        <v>0</v>
      </c>
      <c r="C182" s="63">
        <v>2803</v>
      </c>
      <c r="D182" s="30" t="s">
        <v>92</v>
      </c>
      <c r="E182" s="30">
        <f>'eoy24'!H549</f>
        <v>0</v>
      </c>
      <c r="G182" s="61"/>
      <c r="O182" s="133"/>
      <c r="P182" s="133"/>
      <c r="Q182" s="133"/>
      <c r="W182" s="1"/>
      <c r="X182" s="1"/>
      <c r="Y182" s="1"/>
      <c r="Z182" s="1"/>
      <c r="AA182" s="1"/>
      <c r="AB182" s="1"/>
      <c r="AC182" s="90"/>
      <c r="AD182" s="85"/>
      <c r="AE182" s="1"/>
      <c r="AF182" s="1"/>
      <c r="AG182" s="1"/>
      <c r="AH182" s="111"/>
      <c r="AI182"/>
    </row>
    <row r="183" spans="1:35" ht="15" hidden="1" customHeight="1">
      <c r="A183" s="30">
        <f t="shared" ca="1" si="5"/>
        <v>0</v>
      </c>
      <c r="C183" s="63">
        <v>2804</v>
      </c>
      <c r="D183" s="30" t="s">
        <v>93</v>
      </c>
      <c r="E183" s="30">
        <f>'eoy24'!H550</f>
        <v>0</v>
      </c>
      <c r="G183" s="61"/>
      <c r="O183" s="133"/>
      <c r="P183" s="133"/>
      <c r="Q183" s="133"/>
      <c r="W183" s="1"/>
      <c r="X183" s="1"/>
      <c r="Y183" s="1"/>
      <c r="Z183" s="1"/>
      <c r="AA183" s="1"/>
      <c r="AB183" s="1"/>
      <c r="AC183" s="90"/>
      <c r="AD183" s="85"/>
      <c r="AE183" s="1"/>
      <c r="AF183" s="1"/>
      <c r="AG183" s="1"/>
      <c r="AH183" s="111"/>
      <c r="AI183"/>
    </row>
    <row r="184" spans="1:35" ht="15" hidden="1" customHeight="1">
      <c r="A184" s="30">
        <f t="shared" ca="1" si="5"/>
        <v>0</v>
      </c>
      <c r="C184" s="63">
        <v>2805</v>
      </c>
      <c r="D184" s="30" t="s">
        <v>94</v>
      </c>
      <c r="E184" s="30">
        <f>'eoy24'!H551</f>
        <v>0</v>
      </c>
      <c r="G184" s="61"/>
      <c r="O184" s="133"/>
      <c r="P184" s="133"/>
      <c r="Q184" s="133"/>
      <c r="W184" s="1"/>
      <c r="X184" s="1"/>
      <c r="Y184" s="1"/>
      <c r="Z184" s="1"/>
      <c r="AA184" s="1"/>
      <c r="AB184" s="1"/>
      <c r="AC184" s="90"/>
      <c r="AD184" s="85"/>
      <c r="AE184" s="1"/>
      <c r="AF184" s="1"/>
      <c r="AG184" s="1"/>
      <c r="AH184" s="111"/>
      <c r="AI184"/>
    </row>
    <row r="185" spans="1:35" ht="15" hidden="1" customHeight="1">
      <c r="A185" s="30">
        <f t="shared" ca="1" si="5"/>
        <v>0</v>
      </c>
      <c r="C185" s="63">
        <v>2806</v>
      </c>
      <c r="D185" s="30" t="s">
        <v>95</v>
      </c>
      <c r="E185" s="30">
        <f>'eoy24'!H552</f>
        <v>0</v>
      </c>
      <c r="G185" s="61"/>
      <c r="W185" s="1"/>
      <c r="X185" s="1"/>
      <c r="Y185" s="1"/>
      <c r="Z185" s="1"/>
      <c r="AA185" s="1"/>
      <c r="AB185" s="1"/>
      <c r="AC185" s="90"/>
      <c r="AD185" s="85"/>
      <c r="AE185" s="1"/>
      <c r="AF185" s="1"/>
      <c r="AG185" s="1"/>
      <c r="AH185" s="111"/>
      <c r="AI185"/>
    </row>
    <row r="186" spans="1:35" ht="15" hidden="1" customHeight="1">
      <c r="A186" s="30">
        <f t="shared" ca="1" si="5"/>
        <v>0</v>
      </c>
      <c r="C186" s="63">
        <v>2807</v>
      </c>
      <c r="D186" s="30" t="s">
        <v>236</v>
      </c>
      <c r="E186" s="30">
        <f>'eoy24'!H553</f>
        <v>0</v>
      </c>
      <c r="G186" s="61"/>
      <c r="W186" s="1"/>
      <c r="X186" s="1"/>
      <c r="Y186" s="1"/>
      <c r="Z186" s="1"/>
      <c r="AA186" s="1"/>
      <c r="AB186" s="1"/>
      <c r="AC186" s="90"/>
      <c r="AD186" s="85"/>
      <c r="AE186" s="1"/>
      <c r="AF186" s="1"/>
      <c r="AG186" s="1"/>
      <c r="AH186" s="111"/>
      <c r="AI186"/>
    </row>
    <row r="187" spans="1:35" ht="15" hidden="1" customHeight="1">
      <c r="A187" s="30">
        <f t="shared" ca="1" si="5"/>
        <v>0</v>
      </c>
      <c r="C187" s="63">
        <v>2808</v>
      </c>
      <c r="D187" s="30" t="s">
        <v>97</v>
      </c>
      <c r="E187" s="30">
        <f>'eoy24'!H554</f>
        <v>0</v>
      </c>
      <c r="G187" s="61"/>
      <c r="W187" s="1"/>
      <c r="X187" s="1"/>
      <c r="Y187" s="1"/>
      <c r="Z187" s="1"/>
      <c r="AA187" s="1"/>
      <c r="AB187" s="1"/>
      <c r="AC187" s="90"/>
      <c r="AD187" s="85"/>
      <c r="AE187" s="1"/>
      <c r="AF187" s="1"/>
      <c r="AG187" s="1"/>
      <c r="AH187" s="111"/>
      <c r="AI187"/>
    </row>
    <row r="188" spans="1:35" ht="15" hidden="1" customHeight="1">
      <c r="A188" s="30">
        <f t="shared" ca="1" si="5"/>
        <v>0</v>
      </c>
      <c r="C188" s="63">
        <v>2809</v>
      </c>
      <c r="D188" s="30" t="s">
        <v>98</v>
      </c>
      <c r="E188" s="30">
        <f>'eoy24'!H555</f>
        <v>0</v>
      </c>
      <c r="G188" s="61"/>
      <c r="W188" s="1"/>
      <c r="X188" s="1"/>
      <c r="Y188" s="1"/>
      <c r="Z188" s="1"/>
      <c r="AA188" s="1"/>
      <c r="AB188" s="1"/>
      <c r="AC188" s="90"/>
      <c r="AD188" s="85"/>
      <c r="AE188" s="1"/>
      <c r="AF188" s="1"/>
      <c r="AG188" s="1"/>
      <c r="AH188" s="111"/>
      <c r="AI188"/>
    </row>
    <row r="189" spans="1:35" ht="15" hidden="1" customHeight="1">
      <c r="A189" s="30">
        <f t="shared" ca="1" si="5"/>
        <v>0</v>
      </c>
      <c r="C189" s="63">
        <v>2810</v>
      </c>
      <c r="D189" s="30" t="s">
        <v>238</v>
      </c>
      <c r="E189" s="30">
        <f>'eoy24'!H557</f>
        <v>31383</v>
      </c>
      <c r="G189" s="61"/>
      <c r="W189" s="1"/>
      <c r="X189" s="1"/>
      <c r="Y189" s="1"/>
      <c r="Z189" s="1"/>
      <c r="AA189" s="1"/>
      <c r="AB189" s="1"/>
      <c r="AC189" s="90"/>
      <c r="AD189" s="85"/>
      <c r="AE189" s="1"/>
      <c r="AF189" s="1"/>
      <c r="AG189" s="1"/>
      <c r="AH189" s="111"/>
      <c r="AI189"/>
    </row>
    <row r="190" spans="1:35" ht="15" hidden="1" customHeight="1">
      <c r="A190" s="30">
        <f t="shared" ca="1" si="5"/>
        <v>0</v>
      </c>
      <c r="C190" s="63">
        <v>2811</v>
      </c>
      <c r="D190" s="30" t="s">
        <v>239</v>
      </c>
      <c r="E190" s="30">
        <f ca="1">'eoy24'!H558</f>
        <v>0</v>
      </c>
      <c r="G190" s="61"/>
      <c r="W190" s="1"/>
      <c r="X190" s="1"/>
      <c r="Y190" s="1"/>
      <c r="Z190" s="1"/>
      <c r="AA190" s="1"/>
      <c r="AB190" s="1"/>
      <c r="AC190" s="90"/>
      <c r="AD190" s="85"/>
      <c r="AE190" s="1"/>
      <c r="AF190" s="1"/>
      <c r="AG190" s="1"/>
      <c r="AH190" s="111"/>
      <c r="AI190"/>
    </row>
    <row r="191" spans="1:35" ht="15" hidden="1" customHeight="1">
      <c r="A191" s="30">
        <f t="shared" ca="1" si="5"/>
        <v>0</v>
      </c>
      <c r="C191" s="63">
        <v>2812</v>
      </c>
      <c r="D191" s="30" t="s">
        <v>102</v>
      </c>
      <c r="E191" s="30">
        <f ca="1">'eoy24'!H559</f>
        <v>0</v>
      </c>
      <c r="G191" s="61"/>
      <c r="W191" s="1"/>
      <c r="X191" s="1"/>
      <c r="Y191" s="1"/>
      <c r="Z191" s="1"/>
      <c r="AA191" s="1"/>
      <c r="AB191" s="1"/>
      <c r="AC191" s="90"/>
      <c r="AD191" s="85"/>
      <c r="AE191" s="1"/>
      <c r="AF191" s="1"/>
      <c r="AG191" s="1"/>
      <c r="AH191" s="111"/>
      <c r="AI191"/>
    </row>
    <row r="192" spans="1:35" ht="15" hidden="1" customHeight="1">
      <c r="A192" s="30">
        <f t="shared" ca="1" si="5"/>
        <v>0</v>
      </c>
      <c r="C192" s="63">
        <v>2814</v>
      </c>
      <c r="D192" s="30" t="s">
        <v>103</v>
      </c>
      <c r="E192" s="30">
        <f>'eoy24'!H560</f>
        <v>56691</v>
      </c>
      <c r="G192" s="61"/>
      <c r="W192" s="1"/>
      <c r="X192" s="1"/>
      <c r="Y192" s="1"/>
      <c r="Z192" s="1"/>
      <c r="AA192" s="1"/>
      <c r="AB192" s="1"/>
      <c r="AC192" s="90"/>
      <c r="AD192" s="85"/>
      <c r="AE192" s="1"/>
      <c r="AF192" s="1"/>
      <c r="AG192" s="1"/>
      <c r="AH192" s="111"/>
      <c r="AI192"/>
    </row>
    <row r="193" spans="1:35" ht="15" hidden="1" customHeight="1">
      <c r="A193" s="30">
        <f t="shared" ca="1" si="5"/>
        <v>0</v>
      </c>
      <c r="C193" s="63">
        <v>2815</v>
      </c>
      <c r="D193" s="30" t="s">
        <v>104</v>
      </c>
      <c r="E193" s="30">
        <f ca="1">'eoy24'!H561</f>
        <v>0</v>
      </c>
      <c r="G193" s="61"/>
      <c r="W193" s="1"/>
      <c r="X193" s="1"/>
      <c r="Y193" s="1"/>
      <c r="Z193" s="1"/>
      <c r="AA193" s="1"/>
      <c r="AB193" s="1"/>
      <c r="AC193" s="90"/>
      <c r="AD193" s="85"/>
      <c r="AE193" s="1"/>
      <c r="AF193" s="1"/>
      <c r="AG193" s="1"/>
      <c r="AH193" s="111"/>
      <c r="AI193"/>
    </row>
    <row r="194" spans="1:35" ht="15" hidden="1" customHeight="1">
      <c r="A194" s="30">
        <f t="shared" ca="1" si="5"/>
        <v>0</v>
      </c>
      <c r="C194" s="63">
        <v>2816</v>
      </c>
      <c r="D194" s="30" t="s">
        <v>105</v>
      </c>
      <c r="E194" s="30">
        <f>'eoy24'!H562</f>
        <v>777225</v>
      </c>
      <c r="G194" s="61"/>
      <c r="W194" s="1"/>
      <c r="X194" s="1"/>
      <c r="Y194" s="1"/>
      <c r="Z194" s="1"/>
      <c r="AA194" s="1"/>
      <c r="AB194" s="1"/>
      <c r="AC194" s="90"/>
      <c r="AD194" s="85"/>
      <c r="AE194" s="1"/>
      <c r="AF194" s="1"/>
      <c r="AG194" s="1"/>
      <c r="AH194" s="111"/>
      <c r="AI194"/>
    </row>
    <row r="195" spans="1:35" ht="15" hidden="1" customHeight="1">
      <c r="A195" s="30">
        <f t="shared" ca="1" si="5"/>
        <v>0</v>
      </c>
      <c r="C195" s="63">
        <v>2817</v>
      </c>
      <c r="D195" s="30" t="s">
        <v>241</v>
      </c>
      <c r="E195" s="30">
        <f ca="1">'eoy24'!H563</f>
        <v>0</v>
      </c>
      <c r="G195" s="61"/>
      <c r="W195" s="1"/>
      <c r="X195" s="1"/>
      <c r="Y195" s="1"/>
      <c r="Z195" s="1"/>
      <c r="AA195" s="1"/>
      <c r="AB195" s="1"/>
      <c r="AC195" s="90"/>
      <c r="AD195" s="85"/>
      <c r="AE195" s="1"/>
      <c r="AF195" s="1"/>
      <c r="AG195" s="1"/>
      <c r="AH195" s="111"/>
      <c r="AI195"/>
    </row>
    <row r="196" spans="1:35" ht="15" hidden="1" customHeight="1">
      <c r="A196" s="30">
        <f t="shared" ca="1" si="5"/>
        <v>0</v>
      </c>
      <c r="C196" s="63">
        <v>2818</v>
      </c>
      <c r="D196" s="30" t="s">
        <v>108</v>
      </c>
      <c r="E196" s="30">
        <f>'eoy24'!H564</f>
        <v>6843</v>
      </c>
      <c r="G196" s="61"/>
      <c r="W196" s="1"/>
      <c r="X196" s="1"/>
      <c r="Y196" s="1"/>
      <c r="Z196" s="1"/>
      <c r="AA196" s="1"/>
      <c r="AB196" s="1"/>
      <c r="AC196" s="90"/>
      <c r="AD196" s="85"/>
      <c r="AE196" s="1"/>
      <c r="AF196" s="1"/>
      <c r="AG196" s="1"/>
      <c r="AH196" s="111"/>
      <c r="AI196"/>
    </row>
    <row r="197" spans="1:35" ht="15" hidden="1" customHeight="1">
      <c r="A197" s="30">
        <f t="shared" ca="1" si="5"/>
        <v>0</v>
      </c>
      <c r="C197" s="63">
        <v>2819</v>
      </c>
      <c r="D197" s="30" t="s">
        <v>109</v>
      </c>
      <c r="E197" s="30">
        <f>'eoy24'!H565</f>
        <v>41070</v>
      </c>
      <c r="G197" s="61"/>
      <c r="W197" s="1"/>
      <c r="X197" s="1"/>
      <c r="Y197" s="1"/>
      <c r="Z197" s="1"/>
      <c r="AA197" s="1"/>
      <c r="AB197" s="1"/>
      <c r="AC197" s="90"/>
      <c r="AD197" s="85"/>
      <c r="AE197" s="1"/>
      <c r="AF197" s="1"/>
      <c r="AG197" s="1"/>
      <c r="AH197" s="111"/>
      <c r="AI197"/>
    </row>
    <row r="198" spans="1:35" ht="15" hidden="1" customHeight="1">
      <c r="A198" s="30">
        <f t="shared" ca="1" si="5"/>
        <v>0</v>
      </c>
      <c r="C198" s="63">
        <v>2820</v>
      </c>
      <c r="D198" s="30" t="s">
        <v>242</v>
      </c>
      <c r="E198" s="30">
        <f>'eoy24'!H566</f>
        <v>318570</v>
      </c>
      <c r="G198" s="61"/>
      <c r="W198" s="1"/>
      <c r="X198" s="1"/>
      <c r="Y198" s="1"/>
      <c r="Z198" s="1"/>
      <c r="AA198" s="1"/>
      <c r="AB198" s="1"/>
      <c r="AC198" s="90"/>
      <c r="AD198" s="85"/>
      <c r="AE198" s="1"/>
      <c r="AF198" s="1"/>
      <c r="AG198" s="1"/>
      <c r="AH198" s="111"/>
      <c r="AI198"/>
    </row>
    <row r="199" spans="1:35" ht="15" hidden="1" customHeight="1">
      <c r="A199" s="30">
        <f t="shared" ca="1" si="5"/>
        <v>0</v>
      </c>
      <c r="C199" s="63">
        <v>2821</v>
      </c>
      <c r="D199" s="30" t="s">
        <v>111</v>
      </c>
      <c r="E199" s="30">
        <f ca="1">'eoy24'!H567</f>
        <v>0</v>
      </c>
      <c r="G199" s="61"/>
      <c r="W199" s="1"/>
      <c r="X199" s="1"/>
      <c r="Y199" s="1"/>
      <c r="Z199" s="1"/>
      <c r="AA199" s="1"/>
      <c r="AB199" s="1"/>
      <c r="AC199" s="90"/>
      <c r="AD199" s="85"/>
      <c r="AE199" s="1"/>
      <c r="AF199" s="1"/>
      <c r="AG199" s="1"/>
      <c r="AH199" s="111"/>
      <c r="AI199"/>
    </row>
    <row r="200" spans="1:35" ht="15" hidden="1" customHeight="1">
      <c r="A200" s="30">
        <f t="shared" ca="1" si="5"/>
        <v>0</v>
      </c>
      <c r="C200" s="63">
        <v>2822</v>
      </c>
      <c r="D200" s="30" t="s">
        <v>113</v>
      </c>
      <c r="E200" s="30">
        <f ca="1">'eoy24'!H569</f>
        <v>0</v>
      </c>
      <c r="G200" s="61"/>
      <c r="W200" s="1"/>
      <c r="X200" s="1"/>
      <c r="Y200" s="1"/>
      <c r="Z200" s="1"/>
      <c r="AA200" s="1"/>
      <c r="AB200" s="1"/>
      <c r="AC200" s="90"/>
      <c r="AD200" s="85"/>
      <c r="AE200" s="1"/>
      <c r="AF200" s="1"/>
      <c r="AG200" s="1"/>
      <c r="AH200" s="111"/>
      <c r="AI200"/>
    </row>
    <row r="201" spans="1:35" ht="15" hidden="1" customHeight="1">
      <c r="A201" s="30">
        <f t="shared" ca="1" si="5"/>
        <v>0</v>
      </c>
      <c r="C201" s="63">
        <v>2823</v>
      </c>
      <c r="D201" s="30" t="s">
        <v>896</v>
      </c>
      <c r="E201" s="30">
        <f ca="1">'eoy24'!H570</f>
        <v>0</v>
      </c>
      <c r="G201" s="61"/>
      <c r="W201" s="1"/>
      <c r="X201" s="1"/>
      <c r="Y201" s="1"/>
      <c r="Z201" s="1"/>
      <c r="AA201" s="1"/>
      <c r="AB201" s="1"/>
      <c r="AC201" s="90"/>
      <c r="AD201" s="85"/>
      <c r="AE201" s="1"/>
      <c r="AF201" s="1"/>
      <c r="AG201" s="1"/>
      <c r="AH201" s="111"/>
      <c r="AI201"/>
    </row>
    <row r="202" spans="1:35" ht="15" hidden="1" customHeight="1">
      <c r="A202" s="30">
        <f t="shared" ca="1" si="5"/>
        <v>0</v>
      </c>
      <c r="C202" s="63">
        <v>2824</v>
      </c>
      <c r="D202" s="30" t="s">
        <v>114</v>
      </c>
      <c r="E202" s="30">
        <f ca="1">'eoy24'!H570</f>
        <v>0</v>
      </c>
      <c r="G202" s="61"/>
      <c r="W202" s="1"/>
      <c r="X202" s="1"/>
      <c r="Y202" s="1"/>
      <c r="Z202" s="1"/>
      <c r="AA202" s="1"/>
      <c r="AB202" s="1"/>
      <c r="AC202" s="90"/>
      <c r="AD202" s="85"/>
      <c r="AE202" s="1"/>
      <c r="AF202" s="1"/>
      <c r="AG202" s="1"/>
      <c r="AH202" s="111"/>
      <c r="AI202"/>
    </row>
    <row r="203" spans="1:35" ht="15" hidden="1" customHeight="1">
      <c r="A203" s="30">
        <f t="shared" ca="1" si="5"/>
        <v>0</v>
      </c>
      <c r="C203" s="63">
        <v>2825</v>
      </c>
      <c r="D203" s="30" t="s">
        <v>115</v>
      </c>
      <c r="E203" s="30">
        <f ca="1">'eoy24'!H571</f>
        <v>0</v>
      </c>
      <c r="G203" s="61"/>
      <c r="W203" s="1"/>
      <c r="X203" s="1"/>
      <c r="Y203" s="1"/>
      <c r="Z203" s="1"/>
      <c r="AA203" s="1"/>
      <c r="AB203" s="1"/>
      <c r="AC203" s="90"/>
      <c r="AD203" s="85"/>
      <c r="AE203" s="1"/>
      <c r="AF203" s="1"/>
      <c r="AG203" s="1"/>
      <c r="AH203" s="111"/>
      <c r="AI203"/>
    </row>
    <row r="204" spans="1:35" ht="15" hidden="1" customHeight="1">
      <c r="A204" s="30">
        <f t="shared" ca="1" si="5"/>
        <v>0</v>
      </c>
      <c r="C204" s="63">
        <v>2826</v>
      </c>
      <c r="D204" s="30" t="s">
        <v>243</v>
      </c>
      <c r="E204" s="30">
        <f ca="1">'eoy24'!H572</f>
        <v>0</v>
      </c>
      <c r="G204" s="61"/>
      <c r="W204" s="1"/>
      <c r="X204" s="1"/>
      <c r="Y204" s="1"/>
      <c r="Z204" s="1"/>
      <c r="AA204" s="1"/>
      <c r="AB204" s="1"/>
      <c r="AC204" s="90"/>
      <c r="AD204" s="85"/>
      <c r="AE204" s="1"/>
      <c r="AF204" s="1"/>
      <c r="AG204" s="1"/>
      <c r="AH204" s="111"/>
      <c r="AI204"/>
    </row>
    <row r="205" spans="1:35" ht="15" hidden="1" customHeight="1">
      <c r="A205" s="30">
        <f t="shared" ca="1" si="5"/>
        <v>0</v>
      </c>
      <c r="C205" s="63">
        <v>2827</v>
      </c>
      <c r="D205" s="30" t="s">
        <v>117</v>
      </c>
      <c r="E205" s="30">
        <f>'eoy24'!H573</f>
        <v>770</v>
      </c>
      <c r="G205" s="61"/>
      <c r="W205" s="1"/>
      <c r="X205" s="1"/>
      <c r="Y205" s="1"/>
      <c r="Z205" s="1"/>
      <c r="AA205" s="1"/>
      <c r="AB205" s="1"/>
      <c r="AC205" s="90"/>
      <c r="AD205" s="85"/>
      <c r="AE205" s="1"/>
      <c r="AF205" s="1"/>
      <c r="AG205" s="1"/>
      <c r="AH205" s="111"/>
      <c r="AI205"/>
    </row>
    <row r="206" spans="1:35" ht="15" hidden="1" customHeight="1">
      <c r="A206" s="30">
        <f t="shared" ca="1" si="5"/>
        <v>0</v>
      </c>
      <c r="C206" s="63">
        <v>2828</v>
      </c>
      <c r="D206" s="30" t="s">
        <v>118</v>
      </c>
      <c r="E206" s="30">
        <f ca="1">'eoy24'!H574</f>
        <v>0</v>
      </c>
      <c r="G206" s="61"/>
      <c r="W206" s="1"/>
      <c r="X206" s="1"/>
      <c r="Y206" s="1"/>
      <c r="Z206" s="1"/>
      <c r="AA206" s="1"/>
      <c r="AB206" s="1"/>
      <c r="AC206" s="90"/>
      <c r="AD206" s="85"/>
      <c r="AE206" s="1"/>
      <c r="AF206" s="1"/>
      <c r="AG206" s="1"/>
      <c r="AH206" s="111"/>
      <c r="AI206"/>
    </row>
    <row r="207" spans="1:35" ht="15" hidden="1" customHeight="1">
      <c r="A207" s="30">
        <f t="shared" ca="1" si="5"/>
        <v>0</v>
      </c>
      <c r="C207" s="63">
        <v>2829</v>
      </c>
      <c r="D207" s="30" t="s">
        <v>119</v>
      </c>
      <c r="E207" s="30">
        <f>'eoy24'!H575</f>
        <v>11219</v>
      </c>
      <c r="G207" s="61"/>
      <c r="W207" s="1"/>
      <c r="X207" s="1"/>
      <c r="Y207" s="1"/>
      <c r="Z207" s="1"/>
      <c r="AA207" s="1"/>
      <c r="AB207" s="1"/>
      <c r="AC207" s="90"/>
      <c r="AD207" s="85"/>
      <c r="AE207" s="1"/>
      <c r="AF207" s="1"/>
      <c r="AG207" s="1"/>
      <c r="AH207" s="111"/>
      <c r="AI207"/>
    </row>
    <row r="208" spans="1:35" ht="15" hidden="1" customHeight="1">
      <c r="A208" s="30">
        <f t="shared" ca="1" si="5"/>
        <v>0</v>
      </c>
      <c r="C208" s="63">
        <v>2830</v>
      </c>
      <c r="D208" s="30" t="s">
        <v>120</v>
      </c>
      <c r="E208" s="30">
        <f>'eoy24'!H576</f>
        <v>7</v>
      </c>
      <c r="G208" s="61"/>
      <c r="W208" s="1"/>
      <c r="X208" s="1"/>
      <c r="Y208" s="1"/>
      <c r="Z208" s="1"/>
      <c r="AA208" s="1"/>
      <c r="AB208" s="1"/>
      <c r="AC208" s="90"/>
      <c r="AD208" s="85"/>
      <c r="AE208" s="1"/>
      <c r="AF208" s="1"/>
      <c r="AG208" s="1"/>
      <c r="AH208" s="111"/>
      <c r="AI208"/>
    </row>
    <row r="209" spans="1:35" ht="15" hidden="1" customHeight="1">
      <c r="A209" s="30">
        <f t="shared" ca="1" si="5"/>
        <v>0</v>
      </c>
      <c r="C209" s="63">
        <v>2831</v>
      </c>
      <c r="D209" s="30" t="s">
        <v>121</v>
      </c>
      <c r="E209" s="30">
        <f>'eoy24'!H577</f>
        <v>6322</v>
      </c>
      <c r="G209" s="61"/>
      <c r="W209" s="1"/>
      <c r="X209" s="1"/>
      <c r="Y209" s="1"/>
      <c r="Z209" s="1"/>
      <c r="AA209" s="1"/>
      <c r="AB209" s="1"/>
      <c r="AC209" s="90"/>
      <c r="AD209" s="85"/>
      <c r="AE209" s="1"/>
      <c r="AF209" s="1"/>
      <c r="AG209" s="1"/>
      <c r="AH209" s="111"/>
      <c r="AI209"/>
    </row>
    <row r="210" spans="1:35" ht="15" hidden="1" customHeight="1">
      <c r="A210" s="30">
        <f t="shared" ca="1" si="5"/>
        <v>0</v>
      </c>
      <c r="C210" s="63">
        <v>2832</v>
      </c>
      <c r="D210" s="30" t="s">
        <v>122</v>
      </c>
      <c r="E210" s="30">
        <f ca="1">'eoy24'!H578</f>
        <v>0</v>
      </c>
      <c r="G210" s="61"/>
      <c r="W210" s="1"/>
      <c r="X210" s="1"/>
      <c r="Y210" s="1"/>
      <c r="Z210" s="1"/>
      <c r="AA210" s="1"/>
      <c r="AB210" s="1"/>
      <c r="AC210" s="90"/>
      <c r="AD210" s="85"/>
      <c r="AE210" s="1"/>
      <c r="AF210" s="1"/>
      <c r="AG210" s="1"/>
      <c r="AH210" s="111"/>
      <c r="AI210"/>
    </row>
    <row r="211" spans="1:35" ht="15" hidden="1" customHeight="1">
      <c r="A211" s="30">
        <f t="shared" ca="1" si="5"/>
        <v>0</v>
      </c>
      <c r="C211" s="63">
        <v>2833</v>
      </c>
      <c r="D211" s="30" t="s">
        <v>123</v>
      </c>
      <c r="E211" s="30">
        <f ca="1">'eoy24'!H579</f>
        <v>0</v>
      </c>
      <c r="G211" s="61"/>
      <c r="W211" s="1"/>
      <c r="X211" s="1"/>
      <c r="Y211" s="1"/>
      <c r="Z211" s="1"/>
      <c r="AA211" s="1"/>
      <c r="AB211" s="1"/>
      <c r="AC211" s="90"/>
      <c r="AD211" s="85"/>
      <c r="AE211" s="1"/>
      <c r="AF211" s="1"/>
      <c r="AG211" s="1"/>
      <c r="AH211" s="111"/>
      <c r="AI211"/>
    </row>
    <row r="212" spans="1:35" ht="15" hidden="1" customHeight="1">
      <c r="A212" s="30">
        <f t="shared" ca="1" si="5"/>
        <v>0</v>
      </c>
      <c r="C212" s="63">
        <v>2834</v>
      </c>
      <c r="D212" s="30" t="s">
        <v>124</v>
      </c>
      <c r="E212" s="30">
        <f ca="1">'eoy24'!H580</f>
        <v>0</v>
      </c>
      <c r="G212" s="61"/>
      <c r="W212" s="1"/>
      <c r="X212" s="1"/>
      <c r="Y212" s="1"/>
      <c r="Z212" s="1"/>
      <c r="AA212" s="1"/>
      <c r="AB212" s="1"/>
      <c r="AC212" s="90"/>
      <c r="AD212" s="85"/>
      <c r="AE212" s="1"/>
      <c r="AF212" s="1"/>
      <c r="AG212" s="1"/>
      <c r="AH212" s="111"/>
      <c r="AI212"/>
    </row>
    <row r="213" spans="1:35" ht="15" hidden="1" customHeight="1">
      <c r="A213" s="30">
        <f t="shared" ca="1" si="5"/>
        <v>0</v>
      </c>
      <c r="C213" s="63">
        <v>2835</v>
      </c>
      <c r="D213" s="30" t="s">
        <v>125</v>
      </c>
      <c r="E213" s="30">
        <f ca="1">'eoy24'!H581</f>
        <v>0</v>
      </c>
      <c r="G213" s="61"/>
      <c r="W213" s="1"/>
      <c r="X213" s="1"/>
      <c r="Y213" s="1"/>
      <c r="Z213" s="1"/>
      <c r="AA213" s="1"/>
      <c r="AB213" s="1"/>
      <c r="AC213" s="90"/>
      <c r="AD213" s="85"/>
      <c r="AE213" s="1"/>
      <c r="AF213" s="1"/>
      <c r="AG213" s="1"/>
      <c r="AH213" s="111"/>
      <c r="AI213"/>
    </row>
    <row r="214" spans="1:35" ht="15" hidden="1" customHeight="1">
      <c r="A214" s="30">
        <f t="shared" ca="1" si="5"/>
        <v>0</v>
      </c>
      <c r="C214" s="63">
        <v>2836</v>
      </c>
      <c r="D214" s="30" t="s">
        <v>244</v>
      </c>
      <c r="E214" s="30">
        <f>'eoy24'!H582</f>
        <v>428805</v>
      </c>
      <c r="G214" s="61"/>
      <c r="W214" s="1"/>
      <c r="X214" s="1"/>
      <c r="Y214" s="1"/>
      <c r="Z214" s="1"/>
      <c r="AA214" s="1"/>
      <c r="AB214" s="1"/>
      <c r="AC214" s="90"/>
      <c r="AD214" s="85"/>
      <c r="AE214" s="1"/>
      <c r="AF214" s="1"/>
      <c r="AG214" s="1"/>
      <c r="AH214" s="111"/>
      <c r="AI214"/>
    </row>
    <row r="215" spans="1:35" ht="15" hidden="1" customHeight="1">
      <c r="A215" s="30">
        <f t="shared" ca="1" si="5"/>
        <v>0</v>
      </c>
      <c r="C215" s="63">
        <v>2900</v>
      </c>
      <c r="D215" s="30" t="s">
        <v>127</v>
      </c>
      <c r="E215" s="30">
        <f ca="1">'eoy24'!H583</f>
        <v>0</v>
      </c>
      <c r="G215" s="61"/>
      <c r="W215" s="1"/>
      <c r="X215" s="1"/>
      <c r="Y215" s="1"/>
      <c r="Z215" s="1"/>
      <c r="AA215" s="1"/>
      <c r="AB215" s="1"/>
      <c r="AC215" s="90"/>
      <c r="AD215" s="85"/>
      <c r="AE215" s="1"/>
      <c r="AF215" s="1"/>
      <c r="AG215" s="1"/>
      <c r="AH215" s="111"/>
      <c r="AI215"/>
    </row>
    <row r="216" spans="1:35" ht="15" hidden="1" customHeight="1">
      <c r="A216" s="30">
        <f t="shared" ca="1" si="5"/>
        <v>0</v>
      </c>
      <c r="C216" s="63">
        <v>2901</v>
      </c>
      <c r="D216" s="30" t="s">
        <v>128</v>
      </c>
      <c r="E216" s="30">
        <f>'eoy24'!H584</f>
        <v>200000</v>
      </c>
      <c r="G216" s="61"/>
      <c r="W216" s="1"/>
      <c r="X216" s="1"/>
      <c r="Y216" s="1"/>
      <c r="Z216" s="1"/>
      <c r="AA216" s="1"/>
      <c r="AB216" s="1"/>
      <c r="AC216" s="90"/>
      <c r="AD216" s="85"/>
      <c r="AE216" s="1"/>
      <c r="AF216" s="1"/>
      <c r="AG216" s="1"/>
      <c r="AH216" s="111"/>
      <c r="AI216"/>
    </row>
    <row r="217" spans="1:35" ht="15" hidden="1" customHeight="1">
      <c r="A217" s="30">
        <f t="shared" ca="1" si="5"/>
        <v>0</v>
      </c>
      <c r="C217" s="63">
        <v>2910</v>
      </c>
      <c r="D217" s="30" t="s">
        <v>129</v>
      </c>
      <c r="E217" s="30">
        <f>'eoy24'!H587</f>
        <v>0</v>
      </c>
      <c r="G217" s="61"/>
      <c r="W217" s="1"/>
      <c r="X217" s="1"/>
      <c r="Y217" s="1"/>
      <c r="Z217" s="1"/>
      <c r="AA217" s="1"/>
      <c r="AB217" s="1"/>
      <c r="AC217" s="90"/>
      <c r="AD217" s="85"/>
      <c r="AE217" s="1"/>
      <c r="AF217" s="1"/>
      <c r="AG217" s="1"/>
      <c r="AH217" s="111"/>
      <c r="AI217"/>
    </row>
    <row r="218" spans="1:35" ht="15" hidden="1" customHeight="1">
      <c r="A218" s="30">
        <f t="shared" ca="1" si="5"/>
        <v>0</v>
      </c>
      <c r="C218" s="63">
        <v>2920</v>
      </c>
      <c r="D218" s="30" t="s">
        <v>130</v>
      </c>
      <c r="E218" s="30">
        <f>'eoy24'!H588</f>
        <v>0</v>
      </c>
      <c r="G218" s="61"/>
      <c r="W218" s="1"/>
      <c r="X218" s="1"/>
      <c r="Y218" s="1"/>
      <c r="Z218" s="1"/>
      <c r="AA218" s="1"/>
      <c r="AB218" s="1"/>
      <c r="AC218" s="90"/>
      <c r="AD218" s="85"/>
      <c r="AE218" s="1"/>
      <c r="AF218" s="1"/>
      <c r="AG218" s="1"/>
      <c r="AH218" s="111"/>
      <c r="AI218"/>
    </row>
    <row r="219" spans="1:35" ht="15" hidden="1" customHeight="1">
      <c r="A219" s="30">
        <f t="shared" ca="1" si="5"/>
        <v>0</v>
      </c>
      <c r="C219" s="63">
        <v>2930</v>
      </c>
      <c r="D219" s="30" t="s">
        <v>131</v>
      </c>
      <c r="E219" s="30">
        <f>'eoy24'!H589</f>
        <v>0</v>
      </c>
      <c r="G219" s="61"/>
      <c r="W219" s="1"/>
      <c r="X219" s="1"/>
      <c r="Y219" s="1"/>
      <c r="Z219" s="1"/>
      <c r="AA219" s="1"/>
      <c r="AB219" s="1"/>
      <c r="AC219" s="90"/>
      <c r="AD219" s="85"/>
      <c r="AE219" s="1"/>
      <c r="AF219" s="1"/>
      <c r="AG219" s="1"/>
      <c r="AH219" s="111"/>
      <c r="AI219"/>
    </row>
    <row r="220" spans="1:35" ht="15" hidden="1" customHeight="1">
      <c r="A220" s="30">
        <f t="shared" ca="1" si="5"/>
        <v>0</v>
      </c>
      <c r="C220" s="63">
        <v>2940</v>
      </c>
      <c r="D220" s="30" t="s">
        <v>132</v>
      </c>
      <c r="E220" s="30">
        <f>'eoy24'!H590</f>
        <v>0</v>
      </c>
      <c r="G220" s="61"/>
      <c r="W220" s="1"/>
      <c r="X220" s="1"/>
      <c r="Y220" s="1"/>
      <c r="Z220" s="1"/>
      <c r="AA220" s="1"/>
      <c r="AB220" s="1"/>
      <c r="AC220" s="90"/>
      <c r="AD220" s="85"/>
      <c r="AE220" s="1"/>
      <c r="AF220" s="1"/>
      <c r="AG220" s="1"/>
      <c r="AH220" s="111"/>
      <c r="AI220"/>
    </row>
    <row r="221" spans="1:35" ht="15" hidden="1" customHeight="1">
      <c r="A221" s="30">
        <f t="shared" ca="1" si="5"/>
        <v>0</v>
      </c>
      <c r="C221" s="63">
        <v>2950</v>
      </c>
      <c r="D221" s="30" t="s">
        <v>134</v>
      </c>
      <c r="E221" s="30">
        <f>'eoy24'!H591</f>
        <v>0</v>
      </c>
      <c r="G221" s="61"/>
      <c r="W221" s="1"/>
      <c r="X221" s="1"/>
      <c r="Y221" s="1"/>
      <c r="Z221" s="1"/>
      <c r="AA221" s="1"/>
      <c r="AB221" s="1"/>
      <c r="AC221" s="90"/>
      <c r="AD221" s="85"/>
      <c r="AE221" s="1"/>
      <c r="AF221" s="1"/>
      <c r="AG221" s="1"/>
      <c r="AH221" s="111"/>
      <c r="AI221"/>
    </row>
    <row r="222" spans="1:35" ht="15" hidden="1" customHeight="1">
      <c r="A222" s="30">
        <f t="shared" ca="1" si="5"/>
        <v>0</v>
      </c>
      <c r="C222" s="63">
        <v>2960</v>
      </c>
      <c r="D222" s="30" t="s">
        <v>246</v>
      </c>
      <c r="E222" s="30">
        <f>'eoy24'!H592</f>
        <v>0</v>
      </c>
      <c r="G222" s="61"/>
      <c r="W222" s="1"/>
      <c r="X222" s="1"/>
      <c r="Y222" s="1"/>
      <c r="Z222" s="1"/>
      <c r="AA222" s="1"/>
      <c r="AB222" s="1"/>
      <c r="AC222" s="90"/>
      <c r="AD222" s="85"/>
      <c r="AE222" s="1"/>
      <c r="AF222" s="1"/>
      <c r="AG222" s="1"/>
      <c r="AH222" s="111"/>
      <c r="AI222"/>
    </row>
    <row r="223" spans="1:35" ht="15" hidden="1" customHeight="1">
      <c r="A223" s="30">
        <f t="shared" ca="1" si="5"/>
        <v>0</v>
      </c>
      <c r="C223" s="63">
        <v>2965</v>
      </c>
      <c r="D223" s="30" t="s">
        <v>247</v>
      </c>
      <c r="E223" s="30">
        <f>'eoy24'!H593</f>
        <v>0</v>
      </c>
      <c r="G223" s="61"/>
      <c r="W223" s="1"/>
      <c r="X223" s="1"/>
      <c r="Y223" s="1"/>
      <c r="Z223" s="1"/>
      <c r="AA223" s="1"/>
      <c r="AB223" s="1"/>
      <c r="AC223" s="90"/>
      <c r="AD223" s="85"/>
      <c r="AE223" s="1"/>
      <c r="AF223" s="1"/>
      <c r="AG223" s="1"/>
      <c r="AH223" s="111"/>
      <c r="AI223"/>
    </row>
    <row r="224" spans="1:35" ht="15" hidden="1" customHeight="1">
      <c r="A224" s="30">
        <f t="shared" ca="1" si="5"/>
        <v>0</v>
      </c>
      <c r="C224" s="63">
        <v>2971</v>
      </c>
      <c r="D224" s="30" t="s">
        <v>137</v>
      </c>
      <c r="E224" s="30">
        <f>'eoy24'!H594</f>
        <v>0</v>
      </c>
      <c r="G224" s="61"/>
      <c r="W224" s="1"/>
      <c r="X224" s="1"/>
      <c r="Y224" s="1"/>
      <c r="Z224" s="1"/>
      <c r="AA224" s="1"/>
      <c r="AB224" s="1"/>
      <c r="AC224" s="90"/>
      <c r="AD224" s="85"/>
      <c r="AE224" s="1"/>
      <c r="AF224" s="1"/>
      <c r="AG224" s="1"/>
      <c r="AH224" s="111"/>
      <c r="AI224"/>
    </row>
    <row r="225" spans="1:35" ht="15" hidden="1" customHeight="1">
      <c r="A225" s="30">
        <f t="shared" ca="1" si="5"/>
        <v>0</v>
      </c>
      <c r="C225" s="63">
        <v>2972</v>
      </c>
      <c r="D225" s="30" t="s">
        <v>138</v>
      </c>
      <c r="E225" s="30">
        <f>'eoy24'!H595</f>
        <v>0</v>
      </c>
      <c r="G225" s="61"/>
      <c r="W225" s="1"/>
      <c r="X225" s="1"/>
      <c r="Y225" s="1"/>
      <c r="Z225" s="1"/>
      <c r="AA225" s="1"/>
      <c r="AB225" s="1"/>
      <c r="AC225" s="90"/>
      <c r="AD225" s="85"/>
      <c r="AE225" s="1"/>
      <c r="AF225" s="1"/>
      <c r="AG225" s="1"/>
      <c r="AH225" s="111"/>
      <c r="AI225"/>
    </row>
    <row r="226" spans="1:35" ht="15" hidden="1" customHeight="1">
      <c r="A226" s="30">
        <f t="shared" ca="1" si="5"/>
        <v>0</v>
      </c>
      <c r="C226" s="63">
        <v>2973</v>
      </c>
      <c r="D226" s="30" t="s">
        <v>139</v>
      </c>
      <c r="E226" s="30">
        <f>'eoy24'!H596</f>
        <v>0</v>
      </c>
      <c r="G226" s="61"/>
      <c r="W226" s="1"/>
      <c r="X226" s="1"/>
      <c r="Y226" s="1"/>
      <c r="Z226" s="1"/>
      <c r="AA226" s="1"/>
      <c r="AB226" s="1"/>
      <c r="AC226" s="90"/>
      <c r="AD226" s="85"/>
      <c r="AE226" s="1"/>
      <c r="AF226" s="1"/>
      <c r="AG226" s="1"/>
      <c r="AH226" s="111"/>
      <c r="AI226"/>
    </row>
    <row r="227" spans="1:35" ht="15" hidden="1" customHeight="1">
      <c r="A227" s="30">
        <f t="shared" ca="1" si="5"/>
        <v>0</v>
      </c>
      <c r="C227" s="63">
        <v>2974</v>
      </c>
      <c r="D227" s="30" t="s">
        <v>140</v>
      </c>
      <c r="E227" s="30">
        <f>'eoy24'!H597</f>
        <v>0</v>
      </c>
      <c r="G227" s="61"/>
      <c r="W227" s="1"/>
      <c r="X227" s="1"/>
      <c r="Y227" s="1"/>
      <c r="Z227" s="1"/>
      <c r="AA227" s="1"/>
      <c r="AB227" s="1"/>
      <c r="AC227" s="90"/>
      <c r="AD227" s="85"/>
      <c r="AE227" s="1"/>
      <c r="AF227" s="1"/>
      <c r="AG227" s="1"/>
      <c r="AH227" s="111"/>
      <c r="AI227"/>
    </row>
    <row r="228" spans="1:35" ht="15" hidden="1" customHeight="1">
      <c r="A228" s="30">
        <f t="shared" ca="1" si="5"/>
        <v>0</v>
      </c>
      <c r="C228" s="63">
        <v>2975</v>
      </c>
      <c r="D228" s="30" t="s">
        <v>141</v>
      </c>
      <c r="E228" s="30">
        <f>'eoy24'!H598</f>
        <v>0</v>
      </c>
      <c r="G228" s="61"/>
      <c r="W228" s="1"/>
      <c r="X228" s="1"/>
      <c r="Y228" s="1"/>
      <c r="Z228" s="1"/>
      <c r="AA228" s="1"/>
      <c r="AB228" s="1"/>
      <c r="AC228" s="90"/>
      <c r="AD228" s="85"/>
      <c r="AE228" s="1"/>
      <c r="AF228" s="1"/>
      <c r="AG228" s="1"/>
      <c r="AH228" s="111"/>
      <c r="AI228"/>
    </row>
    <row r="229" spans="1:35" ht="15" hidden="1" customHeight="1">
      <c r="A229" s="30">
        <f t="shared" ca="1" si="5"/>
        <v>0</v>
      </c>
      <c r="C229" s="63">
        <v>2976</v>
      </c>
      <c r="D229" s="30" t="s">
        <v>142</v>
      </c>
      <c r="E229" s="30">
        <f>'eoy24'!H599</f>
        <v>0</v>
      </c>
      <c r="G229" s="61"/>
      <c r="W229" s="1"/>
      <c r="X229" s="1"/>
      <c r="Y229" s="1"/>
      <c r="Z229" s="1"/>
      <c r="AA229" s="1"/>
      <c r="AB229" s="1"/>
      <c r="AC229" s="90"/>
      <c r="AD229" s="85"/>
      <c r="AE229" s="1"/>
      <c r="AF229" s="1"/>
      <c r="AG229" s="1"/>
      <c r="AH229" s="111"/>
      <c r="AI229"/>
    </row>
    <row r="230" spans="1:35" ht="15" hidden="1" customHeight="1">
      <c r="A230" s="30">
        <f t="shared" ca="1" si="5"/>
        <v>0</v>
      </c>
      <c r="C230" s="63">
        <v>2977</v>
      </c>
      <c r="D230" s="30" t="s">
        <v>143</v>
      </c>
      <c r="E230" s="30">
        <f>'eoy24'!H600</f>
        <v>0</v>
      </c>
      <c r="G230" s="61"/>
      <c r="W230" s="1"/>
      <c r="X230" s="1"/>
      <c r="Y230" s="1"/>
      <c r="Z230" s="1"/>
      <c r="AA230" s="1"/>
      <c r="AB230" s="1"/>
      <c r="AC230" s="90"/>
      <c r="AD230" s="85"/>
      <c r="AE230" s="1"/>
      <c r="AF230" s="1"/>
      <c r="AG230" s="1"/>
      <c r="AH230" s="111"/>
      <c r="AI230"/>
    </row>
    <row r="231" spans="1:35" ht="15" hidden="1" customHeight="1">
      <c r="A231" s="30">
        <f t="shared" ca="1" si="5"/>
        <v>0</v>
      </c>
      <c r="C231" s="63">
        <v>2980</v>
      </c>
      <c r="D231" s="30" t="s">
        <v>248</v>
      </c>
      <c r="E231" s="30">
        <f>'eoy24'!H601</f>
        <v>0</v>
      </c>
      <c r="G231" s="61"/>
      <c r="W231" s="1"/>
      <c r="X231" s="1"/>
      <c r="Y231" s="1"/>
      <c r="Z231" s="1"/>
      <c r="AA231" s="1"/>
      <c r="AB231" s="1"/>
      <c r="AC231" s="90"/>
      <c r="AD231" s="85"/>
      <c r="AE231" s="1"/>
      <c r="AF231" s="1"/>
      <c r="AG231" s="1"/>
      <c r="AH231" s="111"/>
      <c r="AI231"/>
    </row>
    <row r="232" spans="1:35" ht="15" hidden="1" customHeight="1">
      <c r="A232" s="30">
        <f t="shared" ca="1" si="5"/>
        <v>0</v>
      </c>
      <c r="C232" s="63">
        <v>2982</v>
      </c>
      <c r="D232" s="30" t="s">
        <v>145</v>
      </c>
      <c r="E232" s="30">
        <f>'eoy24'!H602</f>
        <v>0</v>
      </c>
      <c r="G232" s="61"/>
      <c r="W232" s="1"/>
      <c r="X232" s="1"/>
      <c r="Y232" s="1"/>
      <c r="Z232" s="1"/>
      <c r="AA232" s="1"/>
      <c r="AB232" s="1"/>
      <c r="AC232" s="90"/>
      <c r="AD232" s="85"/>
      <c r="AE232" s="1"/>
      <c r="AF232" s="1"/>
      <c r="AG232" s="1"/>
      <c r="AH232" s="111"/>
      <c r="AI232"/>
    </row>
    <row r="233" spans="1:35" ht="15" hidden="1" customHeight="1">
      <c r="A233" s="30">
        <f t="shared" ca="1" si="5"/>
        <v>0</v>
      </c>
      <c r="C233" s="63">
        <v>2984</v>
      </c>
      <c r="D233" s="30" t="s">
        <v>146</v>
      </c>
      <c r="E233" s="30">
        <f>'eoy24'!H603</f>
        <v>0</v>
      </c>
      <c r="G233" s="61"/>
      <c r="W233" s="1"/>
      <c r="X233" s="1"/>
      <c r="Y233" s="1"/>
      <c r="Z233" s="1"/>
      <c r="AA233" s="1"/>
      <c r="AB233" s="1"/>
      <c r="AC233" s="90"/>
      <c r="AD233" s="85"/>
      <c r="AE233" s="1"/>
      <c r="AF233" s="1"/>
      <c r="AG233" s="1"/>
      <c r="AH233" s="111"/>
      <c r="AI233"/>
    </row>
    <row r="234" spans="1:35" ht="15" hidden="1" customHeight="1">
      <c r="A234" s="30">
        <f t="shared" ca="1" si="5"/>
        <v>0</v>
      </c>
      <c r="C234" s="63">
        <v>2991</v>
      </c>
      <c r="D234" s="30" t="s">
        <v>147</v>
      </c>
      <c r="E234" s="30">
        <f>'eoy24'!H604</f>
        <v>0</v>
      </c>
      <c r="G234" s="61"/>
      <c r="W234" s="1"/>
      <c r="X234" s="1"/>
      <c r="Y234" s="1"/>
      <c r="Z234" s="1"/>
      <c r="AA234" s="1"/>
      <c r="AB234" s="1"/>
      <c r="AC234" s="90"/>
      <c r="AD234" s="85"/>
      <c r="AE234" s="1"/>
      <c r="AF234" s="1"/>
      <c r="AG234" s="1"/>
      <c r="AH234" s="111"/>
      <c r="AI234"/>
    </row>
    <row r="235" spans="1:35" ht="15" hidden="1" customHeight="1">
      <c r="A235" s="30">
        <f t="shared" ca="1" si="5"/>
        <v>0</v>
      </c>
      <c r="C235" s="63">
        <v>2992</v>
      </c>
      <c r="D235" s="30" t="s">
        <v>148</v>
      </c>
      <c r="E235" s="30">
        <f>'eoy24'!H605</f>
        <v>0</v>
      </c>
      <c r="G235" s="61"/>
      <c r="W235" s="1"/>
      <c r="X235" s="1"/>
      <c r="Y235" s="1"/>
      <c r="Z235" s="1"/>
      <c r="AA235" s="1"/>
      <c r="AB235" s="1"/>
      <c r="AC235" s="90"/>
      <c r="AD235" s="85"/>
      <c r="AE235" s="1"/>
      <c r="AF235" s="1"/>
      <c r="AG235" s="1"/>
      <c r="AH235" s="111"/>
      <c r="AI235"/>
    </row>
    <row r="236" spans="1:35" ht="15" hidden="1" customHeight="1">
      <c r="A236" s="30">
        <f t="shared" ca="1" si="5"/>
        <v>0</v>
      </c>
      <c r="C236" s="63">
        <v>2993</v>
      </c>
      <c r="D236" s="30" t="s">
        <v>150</v>
      </c>
      <c r="E236" s="30">
        <f>'eoy24'!H606</f>
        <v>0</v>
      </c>
      <c r="G236" s="61"/>
      <c r="W236" s="1"/>
      <c r="X236" s="1"/>
      <c r="Y236" s="1"/>
      <c r="Z236" s="1"/>
      <c r="AA236" s="1"/>
      <c r="AB236" s="1"/>
      <c r="AC236" s="90"/>
      <c r="AD236" s="85"/>
      <c r="AE236" s="1"/>
      <c r="AF236" s="1"/>
      <c r="AG236" s="1"/>
      <c r="AH236" s="111"/>
      <c r="AI236"/>
    </row>
    <row r="237" spans="1:35" ht="15" hidden="1" customHeight="1">
      <c r="A237" s="30">
        <f t="shared" ca="1" si="5"/>
        <v>0</v>
      </c>
      <c r="C237" s="63">
        <v>2994</v>
      </c>
      <c r="D237" s="30" t="s">
        <v>151</v>
      </c>
      <c r="E237" s="30">
        <f>'eoy24'!H607</f>
        <v>0</v>
      </c>
      <c r="G237" s="61"/>
      <c r="W237" s="1"/>
      <c r="X237" s="1"/>
      <c r="Y237" s="1"/>
      <c r="Z237" s="1"/>
      <c r="AA237" s="1"/>
      <c r="AB237" s="1"/>
      <c r="AC237" s="90"/>
      <c r="AD237" s="85"/>
      <c r="AE237" s="1"/>
      <c r="AF237" s="1"/>
      <c r="AG237" s="1"/>
      <c r="AH237" s="111"/>
      <c r="AI237"/>
    </row>
    <row r="238" spans="1:35" ht="15" hidden="1" customHeight="1">
      <c r="A238" s="30">
        <f t="shared" ca="1" si="5"/>
        <v>0</v>
      </c>
      <c r="C238" s="63">
        <v>2995</v>
      </c>
      <c r="D238" s="30" t="s">
        <v>197</v>
      </c>
      <c r="E238" s="30">
        <f>'eoy24'!H608</f>
        <v>0</v>
      </c>
      <c r="G238" s="61"/>
      <c r="W238" s="1"/>
      <c r="X238" s="1"/>
      <c r="Y238" s="1"/>
      <c r="Z238" s="1"/>
      <c r="AA238" s="1"/>
      <c r="AB238" s="1"/>
      <c r="AC238" s="90"/>
      <c r="AD238" s="85"/>
      <c r="AE238" s="1"/>
      <c r="AF238" s="1"/>
      <c r="AG238" s="1"/>
      <c r="AH238" s="111"/>
      <c r="AI238"/>
    </row>
    <row r="239" spans="1:35" ht="15" hidden="1" customHeight="1">
      <c r="A239" s="30">
        <f t="shared" ca="1" si="5"/>
        <v>0</v>
      </c>
      <c r="C239" s="63">
        <v>3012</v>
      </c>
      <c r="D239" s="30" t="s">
        <v>249</v>
      </c>
      <c r="E239" s="30">
        <f>'eoy24'!H609</f>
        <v>0</v>
      </c>
      <c r="G239" s="61"/>
      <c r="W239" s="1"/>
      <c r="X239" s="1"/>
      <c r="Y239" s="1"/>
      <c r="Z239" s="1"/>
      <c r="AA239" s="1"/>
      <c r="AB239" s="1"/>
      <c r="AC239" s="90"/>
      <c r="AD239" s="85"/>
      <c r="AE239" s="1"/>
      <c r="AF239" s="1"/>
      <c r="AG239" s="1"/>
      <c r="AH239" s="111"/>
      <c r="AI239"/>
    </row>
    <row r="240" spans="1:35" ht="15" hidden="1" customHeight="1">
      <c r="A240" s="30">
        <f t="shared" ca="1" si="5"/>
        <v>0</v>
      </c>
      <c r="C240" s="63">
        <v>3014</v>
      </c>
      <c r="D240" s="30" t="s">
        <v>250</v>
      </c>
      <c r="E240" s="30">
        <f>'eoy24'!H610</f>
        <v>0</v>
      </c>
      <c r="G240" s="61"/>
      <c r="W240" s="1"/>
      <c r="X240" s="1"/>
      <c r="Y240" s="1"/>
      <c r="Z240" s="1"/>
      <c r="AA240" s="1"/>
      <c r="AB240" s="1"/>
      <c r="AC240" s="90"/>
      <c r="AD240" s="85"/>
      <c r="AE240" s="1"/>
      <c r="AF240" s="1"/>
      <c r="AG240" s="1"/>
      <c r="AH240" s="111"/>
      <c r="AI240"/>
    </row>
    <row r="241" spans="1:35" ht="15" hidden="1" customHeight="1">
      <c r="A241" s="30">
        <f t="shared" ca="1" si="5"/>
        <v>0</v>
      </c>
      <c r="C241" s="63">
        <v>3022</v>
      </c>
      <c r="D241" s="30" t="s">
        <v>251</v>
      </c>
      <c r="E241" s="30">
        <f>'eoy24'!H611</f>
        <v>0</v>
      </c>
      <c r="G241" s="61"/>
      <c r="W241" s="1"/>
      <c r="X241" s="1"/>
      <c r="Y241" s="1"/>
      <c r="Z241" s="1"/>
      <c r="AA241" s="1"/>
      <c r="AB241" s="1"/>
      <c r="AC241" s="90"/>
      <c r="AD241" s="85"/>
      <c r="AE241" s="1"/>
      <c r="AF241" s="1"/>
      <c r="AG241" s="1"/>
      <c r="AH241" s="111"/>
      <c r="AI241"/>
    </row>
    <row r="242" spans="1:35" ht="15" hidden="1" customHeight="1">
      <c r="A242" s="30">
        <f t="shared" ca="1" si="5"/>
        <v>0</v>
      </c>
      <c r="C242" s="63">
        <v>3024</v>
      </c>
      <c r="D242" s="30" t="s">
        <v>252</v>
      </c>
      <c r="E242" s="30">
        <f>'eoy24'!H612</f>
        <v>0</v>
      </c>
      <c r="G242" s="61"/>
      <c r="W242" s="1"/>
      <c r="X242" s="1"/>
      <c r="Y242" s="1"/>
      <c r="Z242" s="1"/>
      <c r="AA242" s="1"/>
      <c r="AB242" s="1"/>
      <c r="AC242" s="90"/>
      <c r="AD242" s="85"/>
      <c r="AE242" s="1"/>
      <c r="AF242" s="1"/>
      <c r="AG242" s="1"/>
      <c r="AH242" s="111"/>
      <c r="AI242"/>
    </row>
    <row r="243" spans="1:35" ht="15" hidden="1" customHeight="1">
      <c r="A243" s="30">
        <f t="shared" ca="1" si="5"/>
        <v>0</v>
      </c>
      <c r="C243" s="63">
        <v>3026</v>
      </c>
      <c r="D243" s="30" t="s">
        <v>158</v>
      </c>
      <c r="E243" s="30">
        <f>'eoy24'!H613</f>
        <v>0</v>
      </c>
      <c r="G243" s="61"/>
      <c r="W243" s="1"/>
      <c r="X243" s="1"/>
      <c r="Y243" s="1"/>
      <c r="Z243" s="1"/>
      <c r="AA243" s="1"/>
      <c r="AB243" s="1"/>
      <c r="AC243" s="90"/>
      <c r="AD243" s="85"/>
      <c r="AE243" s="1"/>
      <c r="AF243" s="1"/>
      <c r="AG243" s="1"/>
      <c r="AH243" s="111"/>
      <c r="AI243"/>
    </row>
    <row r="244" spans="1:35" ht="15" hidden="1" customHeight="1">
      <c r="A244" s="30">
        <f t="shared" ca="1" si="5"/>
        <v>0</v>
      </c>
      <c r="C244" s="63">
        <v>3028</v>
      </c>
      <c r="D244" s="30" t="s">
        <v>159</v>
      </c>
      <c r="E244" s="30">
        <f>'eoy24'!H614</f>
        <v>0</v>
      </c>
      <c r="G244" s="61"/>
      <c r="W244" s="1"/>
      <c r="X244" s="1"/>
      <c r="Y244" s="1"/>
      <c r="Z244" s="1"/>
      <c r="AA244" s="1"/>
      <c r="AB244" s="1"/>
      <c r="AC244" s="90"/>
      <c r="AD244" s="85"/>
      <c r="AE244" s="1"/>
      <c r="AF244" s="1"/>
      <c r="AG244" s="1"/>
      <c r="AH244" s="111"/>
      <c r="AI244"/>
    </row>
    <row r="245" spans="1:35" ht="15" hidden="1" customHeight="1">
      <c r="A245" s="30">
        <f t="shared" ref="A245:A261" ca="1" si="6">IF(AND(A$262&gt;0,E245&gt;0),1,0)</f>
        <v>0</v>
      </c>
      <c r="C245" s="63">
        <v>3030</v>
      </c>
      <c r="D245" s="30" t="s">
        <v>253</v>
      </c>
      <c r="E245" s="30">
        <f>'eoy24'!H615</f>
        <v>0</v>
      </c>
      <c r="G245" s="61"/>
      <c r="W245" s="1"/>
      <c r="X245" s="1"/>
      <c r="Y245" s="1"/>
      <c r="Z245" s="1"/>
      <c r="AA245" s="1"/>
      <c r="AB245" s="1"/>
      <c r="AC245" s="90"/>
      <c r="AD245" s="85"/>
      <c r="AE245" s="1"/>
      <c r="AF245" s="1"/>
      <c r="AG245" s="1"/>
      <c r="AH245" s="111"/>
      <c r="AI245"/>
    </row>
    <row r="246" spans="1:35" ht="15" hidden="1" customHeight="1">
      <c r="A246" s="30">
        <f t="shared" ca="1" si="6"/>
        <v>0</v>
      </c>
      <c r="C246" s="63">
        <v>3042</v>
      </c>
      <c r="D246" s="30" t="s">
        <v>254</v>
      </c>
      <c r="E246" s="30">
        <f>'eoy24'!H616</f>
        <v>0</v>
      </c>
      <c r="G246" s="61"/>
      <c r="W246" s="1"/>
      <c r="X246" s="1"/>
      <c r="Y246" s="1"/>
      <c r="Z246" s="1"/>
      <c r="AA246" s="1"/>
      <c r="AB246" s="1"/>
      <c r="AC246" s="90"/>
      <c r="AD246" s="85"/>
      <c r="AE246" s="1"/>
      <c r="AF246" s="1"/>
      <c r="AG246" s="1"/>
      <c r="AH246" s="111"/>
      <c r="AI246"/>
    </row>
    <row r="247" spans="1:35" ht="15" hidden="1" customHeight="1">
      <c r="A247" s="30">
        <f t="shared" ca="1" si="6"/>
        <v>0</v>
      </c>
      <c r="C247" s="63">
        <v>3044</v>
      </c>
      <c r="D247" s="30" t="s">
        <v>255</v>
      </c>
      <c r="E247" s="30">
        <f>'eoy24'!H617</f>
        <v>0</v>
      </c>
      <c r="G247" s="61"/>
      <c r="W247" s="1"/>
      <c r="X247" s="1"/>
      <c r="Y247" s="1"/>
      <c r="Z247" s="1"/>
      <c r="AA247" s="1"/>
      <c r="AB247" s="1"/>
      <c r="AC247" s="90"/>
      <c r="AD247" s="85"/>
      <c r="AE247" s="1"/>
      <c r="AF247" s="1"/>
      <c r="AG247" s="1"/>
      <c r="AH247" s="111"/>
      <c r="AI247"/>
    </row>
    <row r="248" spans="1:35" ht="15" hidden="1" customHeight="1">
      <c r="A248" s="30">
        <f t="shared" ca="1" si="6"/>
        <v>0</v>
      </c>
      <c r="C248" s="63">
        <v>3046</v>
      </c>
      <c r="D248" s="30" t="s">
        <v>256</v>
      </c>
      <c r="E248" s="30">
        <f>'eoy24'!H618</f>
        <v>0</v>
      </c>
      <c r="G248" s="61"/>
      <c r="W248" s="1"/>
      <c r="X248" s="1"/>
      <c r="Y248" s="1"/>
      <c r="Z248" s="1"/>
      <c r="AA248" s="1"/>
      <c r="AB248" s="1"/>
      <c r="AC248" s="90"/>
      <c r="AD248" s="85"/>
      <c r="AE248" s="1"/>
      <c r="AF248" s="1"/>
      <c r="AG248" s="1"/>
      <c r="AH248" s="111"/>
      <c r="AI248"/>
    </row>
    <row r="249" spans="1:35" ht="15" hidden="1" customHeight="1">
      <c r="A249" s="30">
        <f t="shared" ca="1" si="6"/>
        <v>0</v>
      </c>
      <c r="C249" s="63">
        <v>3048</v>
      </c>
      <c r="D249" s="30" t="s">
        <v>257</v>
      </c>
      <c r="E249" s="30">
        <f>'eoy24'!H619</f>
        <v>0</v>
      </c>
      <c r="G249" s="61"/>
      <c r="W249" s="1"/>
      <c r="X249" s="1"/>
      <c r="Y249" s="1"/>
      <c r="Z249" s="1"/>
      <c r="AA249" s="1"/>
      <c r="AB249" s="1"/>
      <c r="AC249" s="90"/>
      <c r="AD249" s="85"/>
      <c r="AE249" s="1"/>
      <c r="AF249" s="1"/>
      <c r="AG249" s="1"/>
      <c r="AH249" s="111"/>
      <c r="AI249"/>
    </row>
    <row r="250" spans="1:35" ht="15" hidden="1" customHeight="1">
      <c r="A250" s="30">
        <f t="shared" ca="1" si="6"/>
        <v>0</v>
      </c>
      <c r="C250" s="63">
        <v>3052</v>
      </c>
      <c r="D250" s="30" t="s">
        <v>165</v>
      </c>
      <c r="E250" s="30">
        <f>'eoy24'!H620</f>
        <v>0</v>
      </c>
      <c r="G250" s="61"/>
      <c r="W250" s="1"/>
      <c r="X250" s="1"/>
      <c r="Y250" s="1"/>
      <c r="Z250" s="1"/>
      <c r="AA250" s="1"/>
      <c r="AB250" s="1"/>
      <c r="AC250" s="90"/>
      <c r="AD250" s="85"/>
      <c r="AE250" s="1"/>
      <c r="AF250" s="1"/>
      <c r="AG250" s="1"/>
      <c r="AH250" s="111"/>
      <c r="AI250"/>
    </row>
    <row r="251" spans="1:35" ht="15" hidden="1" customHeight="1">
      <c r="A251" s="30">
        <f t="shared" ca="1" si="6"/>
        <v>0</v>
      </c>
      <c r="C251" s="63">
        <v>3054</v>
      </c>
      <c r="D251" s="30" t="s">
        <v>166</v>
      </c>
      <c r="E251" s="30">
        <f>'eoy24'!H621</f>
        <v>0</v>
      </c>
      <c r="G251" s="61"/>
      <c r="W251" s="1"/>
      <c r="X251" s="1"/>
      <c r="Y251" s="1"/>
      <c r="Z251" s="1"/>
      <c r="AA251" s="1"/>
      <c r="AB251" s="1"/>
      <c r="AC251" s="90"/>
      <c r="AD251" s="85"/>
      <c r="AE251" s="1"/>
      <c r="AF251" s="1"/>
      <c r="AG251" s="1"/>
      <c r="AH251" s="111"/>
      <c r="AI251"/>
    </row>
    <row r="252" spans="1:35" ht="15" hidden="1" customHeight="1">
      <c r="A252" s="30">
        <f t="shared" ca="1" si="6"/>
        <v>0</v>
      </c>
      <c r="C252" s="63">
        <v>3056</v>
      </c>
      <c r="D252" s="30" t="s">
        <v>167</v>
      </c>
      <c r="E252" s="30">
        <f>'eoy24'!H622</f>
        <v>0</v>
      </c>
      <c r="G252" s="61"/>
      <c r="W252" s="1"/>
      <c r="X252" s="1"/>
      <c r="Y252" s="1"/>
      <c r="Z252" s="1"/>
      <c r="AA252" s="1"/>
      <c r="AB252" s="1"/>
      <c r="AC252" s="90"/>
      <c r="AD252" s="85"/>
      <c r="AE252" s="1"/>
      <c r="AF252" s="1"/>
      <c r="AG252" s="1"/>
      <c r="AH252" s="111"/>
      <c r="AI252"/>
    </row>
    <row r="253" spans="1:35" ht="15" hidden="1" customHeight="1">
      <c r="A253" s="30">
        <f t="shared" ca="1" si="6"/>
        <v>0</v>
      </c>
      <c r="C253" s="63">
        <v>3058</v>
      </c>
      <c r="D253" s="30" t="s">
        <v>168</v>
      </c>
      <c r="E253" s="30">
        <f>'eoy24'!H623</f>
        <v>0</v>
      </c>
      <c r="G253" s="61"/>
      <c r="W253" s="1"/>
      <c r="X253" s="1"/>
      <c r="Y253" s="1"/>
      <c r="Z253" s="1"/>
      <c r="AA253" s="1"/>
      <c r="AB253" s="1"/>
      <c r="AC253" s="90"/>
      <c r="AD253" s="85"/>
      <c r="AE253" s="1"/>
      <c r="AF253" s="1"/>
      <c r="AG253" s="1"/>
      <c r="AH253" s="111"/>
      <c r="AI253"/>
    </row>
    <row r="254" spans="1:35" ht="15" hidden="1" customHeight="1">
      <c r="A254" s="30">
        <f t="shared" ca="1" si="6"/>
        <v>0</v>
      </c>
      <c r="C254" s="63">
        <v>3062</v>
      </c>
      <c r="D254" s="30" t="s">
        <v>170</v>
      </c>
      <c r="E254" s="30">
        <f>'eoy24'!H624</f>
        <v>0</v>
      </c>
      <c r="G254" s="61"/>
      <c r="W254" s="1"/>
      <c r="X254" s="1"/>
      <c r="Y254" s="1"/>
      <c r="Z254" s="1"/>
      <c r="AA254" s="1"/>
      <c r="AB254" s="1"/>
      <c r="AC254" s="90"/>
      <c r="AD254" s="85"/>
      <c r="AE254" s="1"/>
      <c r="AF254" s="1"/>
      <c r="AG254" s="1"/>
      <c r="AH254" s="111"/>
      <c r="AI254"/>
    </row>
    <row r="255" spans="1:35" ht="15" hidden="1" customHeight="1">
      <c r="A255" s="30">
        <f t="shared" ca="1" si="6"/>
        <v>0</v>
      </c>
      <c r="C255" s="63">
        <v>3064</v>
      </c>
      <c r="D255" s="30" t="s">
        <v>171</v>
      </c>
      <c r="E255" s="30">
        <f>'eoy24'!H625</f>
        <v>0</v>
      </c>
      <c r="G255" s="61"/>
      <c r="W255" s="1"/>
      <c r="X255" s="1"/>
      <c r="Y255" s="1"/>
      <c r="Z255" s="1"/>
      <c r="AA255" s="1"/>
      <c r="AB255" s="1"/>
      <c r="AC255" s="90"/>
      <c r="AD255" s="85"/>
      <c r="AE255" s="1"/>
      <c r="AF255" s="1"/>
      <c r="AG255" s="1"/>
      <c r="AH255" s="111"/>
      <c r="AI255"/>
    </row>
    <row r="256" spans="1:35" ht="15" hidden="1" customHeight="1">
      <c r="A256" s="30">
        <f t="shared" ca="1" si="6"/>
        <v>0</v>
      </c>
      <c r="C256" s="63">
        <v>3066</v>
      </c>
      <c r="D256" s="30" t="s">
        <v>172</v>
      </c>
      <c r="E256" s="30">
        <f>'eoy24'!H626</f>
        <v>0</v>
      </c>
      <c r="G256" s="61"/>
      <c r="W256" s="1"/>
      <c r="X256" s="1"/>
      <c r="Y256" s="1"/>
      <c r="Z256" s="1"/>
      <c r="AA256" s="1"/>
      <c r="AB256" s="1"/>
      <c r="AC256" s="90"/>
      <c r="AD256" s="85"/>
      <c r="AE256" s="1"/>
      <c r="AF256" s="1"/>
      <c r="AG256" s="1"/>
      <c r="AH256" s="111"/>
      <c r="AI256"/>
    </row>
    <row r="257" spans="1:35" ht="15" hidden="1" customHeight="1">
      <c r="A257" s="30">
        <f t="shared" ca="1" si="6"/>
        <v>0</v>
      </c>
      <c r="C257" s="63">
        <v>3072</v>
      </c>
      <c r="D257" s="30" t="s">
        <v>174</v>
      </c>
      <c r="E257" s="30">
        <f>'eoy24'!H627</f>
        <v>0</v>
      </c>
      <c r="G257" s="61"/>
      <c r="W257" s="1"/>
      <c r="X257" s="1"/>
      <c r="Y257" s="1"/>
      <c r="Z257" s="1"/>
      <c r="AA257" s="1"/>
      <c r="AB257" s="1"/>
      <c r="AC257" s="90"/>
      <c r="AD257" s="85"/>
      <c r="AE257" s="1"/>
      <c r="AF257" s="1"/>
      <c r="AG257" s="1"/>
      <c r="AH257" s="111"/>
      <c r="AI257"/>
    </row>
    <row r="258" spans="1:35" ht="15" hidden="1" customHeight="1">
      <c r="A258" s="30">
        <f t="shared" ca="1" si="6"/>
        <v>0</v>
      </c>
      <c r="C258" s="63">
        <v>3075</v>
      </c>
      <c r="D258" s="30" t="s">
        <v>177</v>
      </c>
      <c r="E258" s="30">
        <f>'eoy24'!H628</f>
        <v>0</v>
      </c>
      <c r="W258" s="1"/>
      <c r="X258" s="1"/>
      <c r="Y258" s="1"/>
      <c r="Z258" s="1"/>
      <c r="AA258" s="1"/>
      <c r="AB258" s="1"/>
      <c r="AC258" s="90"/>
      <c r="AD258" s="85"/>
      <c r="AE258" s="1"/>
      <c r="AF258" s="1"/>
      <c r="AG258" s="1"/>
      <c r="AH258" s="111"/>
      <c r="AI258"/>
    </row>
    <row r="259" spans="1:35" ht="15" hidden="1" customHeight="1">
      <c r="A259" s="30">
        <f t="shared" ca="1" si="6"/>
        <v>0</v>
      </c>
      <c r="C259" s="63">
        <v>3076</v>
      </c>
      <c r="D259" s="30" t="s">
        <v>179</v>
      </c>
      <c r="E259" s="30">
        <f>'eoy24'!H629</f>
        <v>0</v>
      </c>
      <c r="W259" s="1"/>
      <c r="X259" s="1"/>
      <c r="Y259" s="1"/>
      <c r="Z259" s="1"/>
      <c r="AA259" s="1"/>
      <c r="AB259" s="1"/>
      <c r="AC259" s="90"/>
      <c r="AD259" s="85"/>
      <c r="AE259" s="1"/>
      <c r="AF259" s="1"/>
      <c r="AG259" s="1"/>
      <c r="AH259" s="111"/>
      <c r="AI259"/>
    </row>
    <row r="260" spans="1:35" ht="15" hidden="1" customHeight="1">
      <c r="A260" s="30">
        <f t="shared" ca="1" si="6"/>
        <v>0</v>
      </c>
      <c r="C260" s="63">
        <v>3077</v>
      </c>
      <c r="D260" s="30" t="s">
        <v>180</v>
      </c>
      <c r="E260" s="30">
        <f>'eoy24'!H630</f>
        <v>0</v>
      </c>
      <c r="W260" s="1"/>
      <c r="X260" s="1"/>
      <c r="Y260" s="1"/>
      <c r="Z260" s="1"/>
      <c r="AA260" s="1"/>
      <c r="AB260" s="1"/>
      <c r="AC260" s="90"/>
      <c r="AD260" s="85"/>
      <c r="AE260" s="1"/>
      <c r="AF260" s="1"/>
      <c r="AG260" s="1"/>
      <c r="AH260" s="111"/>
      <c r="AI260"/>
    </row>
    <row r="261" spans="1:35" ht="15" hidden="1" customHeight="1">
      <c r="A261" s="30">
        <f t="shared" ca="1" si="6"/>
        <v>0</v>
      </c>
      <c r="C261" s="63">
        <v>3078</v>
      </c>
      <c r="D261" s="30" t="s">
        <v>181</v>
      </c>
      <c r="E261" s="30">
        <f>'eoy24'!H631</f>
        <v>0</v>
      </c>
      <c r="W261" s="1"/>
      <c r="X261" s="1"/>
      <c r="Y261" s="1"/>
      <c r="Z261" s="1"/>
      <c r="AA261" s="1"/>
      <c r="AB261" s="1"/>
      <c r="AC261" s="90"/>
      <c r="AD261" s="85"/>
      <c r="AE261" s="1"/>
      <c r="AF261" s="1"/>
      <c r="AG261" s="1"/>
      <c r="AH261" s="111"/>
      <c r="AI261"/>
    </row>
    <row r="262" spans="1:35" ht="15" hidden="1" customHeight="1">
      <c r="A262" s="120">
        <f ca="1">IF(OR(AND(E262&gt;0,I262=0),AND(E262=0,I262&gt;0)),1,0)</f>
        <v>0</v>
      </c>
      <c r="B262" s="120"/>
      <c r="C262" s="119" t="s">
        <v>899</v>
      </c>
      <c r="D262" s="120" t="s">
        <v>900</v>
      </c>
      <c r="E262" s="120">
        <f ca="1">'eoy24'!H632</f>
        <v>1878905</v>
      </c>
      <c r="F262" s="120"/>
      <c r="G262" s="527">
        <v>481</v>
      </c>
      <c r="H262" s="527" t="s">
        <v>901</v>
      </c>
      <c r="I262" s="120">
        <f>'eoy24'!J39</f>
        <v>1878905</v>
      </c>
      <c r="W262" s="1"/>
      <c r="X262" s="1"/>
      <c r="Y262" s="1"/>
      <c r="Z262" s="1"/>
      <c r="AA262" s="1"/>
      <c r="AB262" s="1"/>
      <c r="AC262" s="90"/>
      <c r="AD262" s="85"/>
      <c r="AE262" s="1"/>
      <c r="AF262" s="1"/>
      <c r="AG262" s="1"/>
      <c r="AH262" s="111"/>
      <c r="AI262"/>
    </row>
    <row r="263" spans="1:35" ht="15" hidden="1" customHeight="1">
      <c r="A263" s="30">
        <f ca="1">IF(A$348=1,1,0)</f>
        <v>0</v>
      </c>
      <c r="C263" s="702" t="s">
        <v>906</v>
      </c>
      <c r="D263" s="527"/>
      <c r="E263" s="527"/>
      <c r="F263" s="527"/>
      <c r="G263" s="216" t="s">
        <v>907</v>
      </c>
      <c r="H263" s="527"/>
      <c r="I263" s="527"/>
      <c r="W263" s="1"/>
      <c r="X263" s="1"/>
      <c r="Y263" s="1"/>
      <c r="Z263" s="1"/>
      <c r="AA263" s="1"/>
      <c r="AB263" s="1"/>
      <c r="AC263" s="90"/>
      <c r="AD263" s="85"/>
      <c r="AE263" s="1"/>
      <c r="AF263" s="1"/>
      <c r="AG263" s="1"/>
      <c r="AH263" s="111"/>
      <c r="AI263"/>
    </row>
    <row r="264" spans="1:35" ht="15" hidden="1" customHeight="1">
      <c r="A264" s="30">
        <f ca="1">IF(A$348=1,1,0)</f>
        <v>0</v>
      </c>
      <c r="B264" s="72"/>
      <c r="C264" s="122" t="s">
        <v>908</v>
      </c>
      <c r="D264" s="704"/>
      <c r="E264" s="704"/>
      <c r="F264" s="215"/>
      <c r="G264" s="706" t="s">
        <v>909</v>
      </c>
      <c r="H264" s="704"/>
      <c r="I264" s="704"/>
      <c r="W264" s="1"/>
      <c r="X264" s="1"/>
      <c r="Y264" s="1"/>
      <c r="Z264" s="1"/>
      <c r="AA264" s="1"/>
      <c r="AB264" s="1"/>
      <c r="AC264" s="90"/>
      <c r="AD264" s="85"/>
      <c r="AE264" s="1"/>
      <c r="AF264" s="1"/>
      <c r="AG264" s="1"/>
      <c r="AH264" s="111"/>
      <c r="AI264"/>
    </row>
    <row r="265" spans="1:35" ht="15" hidden="1" customHeight="1">
      <c r="A265" s="30">
        <f ca="1">IF(A$348=1,1,0)</f>
        <v>0</v>
      </c>
      <c r="B265" s="72"/>
      <c r="C265" s="703" t="s">
        <v>38</v>
      </c>
      <c r="D265" s="704" t="s">
        <v>895</v>
      </c>
      <c r="E265" s="704" t="s">
        <v>864</v>
      </c>
      <c r="F265" s="215"/>
      <c r="G265" s="704" t="s">
        <v>38</v>
      </c>
      <c r="H265" s="704" t="s">
        <v>863</v>
      </c>
      <c r="I265" s="704" t="s">
        <v>864</v>
      </c>
      <c r="W265" s="1"/>
      <c r="X265" s="1"/>
      <c r="Y265" s="1"/>
      <c r="Z265" s="1"/>
      <c r="AA265" s="1"/>
      <c r="AB265" s="1"/>
      <c r="AC265" s="90"/>
      <c r="AD265" s="85"/>
      <c r="AE265" s="1"/>
      <c r="AF265" s="1"/>
      <c r="AG265" s="1"/>
      <c r="AH265" s="111"/>
      <c r="AI265"/>
    </row>
    <row r="266" spans="1:35" ht="15" hidden="1" customHeight="1">
      <c r="A266" s="30">
        <f ca="1">IF(AND(A$348&gt;0,E266&gt;0),1,0)</f>
        <v>0</v>
      </c>
      <c r="B266" s="72"/>
      <c r="C266" s="63">
        <v>2801</v>
      </c>
      <c r="D266" s="30" t="s">
        <v>83</v>
      </c>
      <c r="E266" s="30">
        <f>'eoy24'!I547</f>
        <v>0</v>
      </c>
      <c r="F266" s="215"/>
      <c r="G266" s="704"/>
      <c r="H266" s="704"/>
      <c r="I266" s="704"/>
      <c r="W266" s="1"/>
      <c r="X266" s="1"/>
      <c r="Y266" s="1"/>
      <c r="Z266" s="1"/>
      <c r="AA266" s="1"/>
      <c r="AB266" s="1"/>
      <c r="AC266" s="90"/>
      <c r="AD266" s="85"/>
      <c r="AE266" s="1"/>
      <c r="AF266" s="1"/>
      <c r="AG266" s="1"/>
      <c r="AH266" s="111"/>
      <c r="AI266"/>
    </row>
    <row r="267" spans="1:35" ht="15" hidden="1" customHeight="1">
      <c r="A267" s="30">
        <f t="shared" ref="A267:A332" ca="1" si="7">IF(AND(A$348&gt;0,E267&gt;0),1,0)</f>
        <v>0</v>
      </c>
      <c r="B267" s="72"/>
      <c r="C267" s="63">
        <v>2802</v>
      </c>
      <c r="D267" s="30" t="s">
        <v>90</v>
      </c>
      <c r="E267" s="30">
        <f>'eoy24'!I548</f>
        <v>0</v>
      </c>
      <c r="F267" s="215"/>
      <c r="G267" s="704"/>
      <c r="H267" s="704"/>
      <c r="I267" s="704"/>
      <c r="W267" s="1"/>
      <c r="X267" s="1"/>
      <c r="Y267" s="1"/>
      <c r="Z267" s="1"/>
      <c r="AA267" s="1"/>
      <c r="AB267" s="1"/>
      <c r="AC267" s="90"/>
      <c r="AD267" s="85"/>
      <c r="AE267" s="1"/>
      <c r="AF267" s="1"/>
      <c r="AG267" s="1"/>
      <c r="AH267" s="111"/>
      <c r="AI267"/>
    </row>
    <row r="268" spans="1:35" ht="15" hidden="1" customHeight="1">
      <c r="A268" s="30">
        <f t="shared" ca="1" si="7"/>
        <v>0</v>
      </c>
      <c r="B268" s="72"/>
      <c r="C268" s="63">
        <v>2803</v>
      </c>
      <c r="D268" s="30" t="s">
        <v>92</v>
      </c>
      <c r="E268" s="30">
        <f>'eoy24'!I549</f>
        <v>0</v>
      </c>
      <c r="F268" s="215"/>
      <c r="G268" s="704"/>
      <c r="H268" s="704"/>
      <c r="I268" s="704"/>
      <c r="W268" s="1"/>
      <c r="X268" s="1"/>
      <c r="Y268" s="1"/>
      <c r="Z268" s="1"/>
      <c r="AA268" s="1"/>
      <c r="AB268" s="1"/>
      <c r="AC268" s="90"/>
      <c r="AD268" s="85"/>
      <c r="AE268" s="1"/>
      <c r="AF268" s="1"/>
      <c r="AG268" s="1"/>
      <c r="AH268" s="111"/>
      <c r="AI268"/>
    </row>
    <row r="269" spans="1:35" ht="15" hidden="1" customHeight="1">
      <c r="A269" s="30">
        <f t="shared" ca="1" si="7"/>
        <v>0</v>
      </c>
      <c r="B269" s="72"/>
      <c r="C269" s="63">
        <v>2804</v>
      </c>
      <c r="D269" s="30" t="s">
        <v>93</v>
      </c>
      <c r="E269" s="30">
        <f>'eoy24'!I550</f>
        <v>0</v>
      </c>
      <c r="F269" s="215"/>
      <c r="G269" s="704"/>
      <c r="H269" s="704"/>
      <c r="I269" s="704"/>
      <c r="W269" s="1"/>
      <c r="X269" s="1"/>
      <c r="Y269" s="1"/>
      <c r="Z269" s="1"/>
      <c r="AA269" s="1"/>
      <c r="AB269" s="1"/>
      <c r="AC269" s="90"/>
      <c r="AD269" s="85"/>
      <c r="AE269" s="1"/>
      <c r="AF269" s="1"/>
      <c r="AG269" s="1"/>
      <c r="AH269" s="111"/>
      <c r="AI269"/>
    </row>
    <row r="270" spans="1:35" ht="15" hidden="1" customHeight="1">
      <c r="A270" s="30">
        <f t="shared" ca="1" si="7"/>
        <v>0</v>
      </c>
      <c r="B270" s="72"/>
      <c r="C270" s="63">
        <v>2805</v>
      </c>
      <c r="D270" s="30" t="s">
        <v>94</v>
      </c>
      <c r="E270" s="30">
        <f>'eoy24'!I551</f>
        <v>0</v>
      </c>
      <c r="F270" s="215"/>
      <c r="G270" s="704"/>
      <c r="H270" s="704"/>
      <c r="I270" s="704"/>
      <c r="W270" s="1"/>
      <c r="X270" s="1"/>
      <c r="Y270" s="1"/>
      <c r="Z270" s="1"/>
      <c r="AA270" s="1"/>
      <c r="AB270" s="1"/>
      <c r="AC270" s="90"/>
      <c r="AD270" s="85"/>
      <c r="AE270" s="1"/>
      <c r="AF270" s="1"/>
      <c r="AG270" s="1"/>
      <c r="AH270" s="111"/>
      <c r="AI270"/>
    </row>
    <row r="271" spans="1:35" ht="15" hidden="1" customHeight="1">
      <c r="A271" s="30">
        <f t="shared" ca="1" si="7"/>
        <v>0</v>
      </c>
      <c r="B271" s="72"/>
      <c r="C271" s="63">
        <v>2806</v>
      </c>
      <c r="D271" s="30" t="s">
        <v>95</v>
      </c>
      <c r="E271" s="30">
        <f>'eoy24'!I552</f>
        <v>0</v>
      </c>
      <c r="F271" s="215"/>
      <c r="G271" s="704"/>
      <c r="H271" s="704"/>
      <c r="I271" s="704"/>
      <c r="W271" s="1"/>
      <c r="X271" s="1"/>
      <c r="Y271" s="1"/>
      <c r="Z271" s="1"/>
      <c r="AA271" s="1"/>
      <c r="AB271" s="1"/>
      <c r="AC271" s="90"/>
      <c r="AD271" s="85"/>
      <c r="AE271" s="1"/>
      <c r="AF271" s="1"/>
      <c r="AG271" s="1"/>
      <c r="AH271" s="111"/>
      <c r="AI271"/>
    </row>
    <row r="272" spans="1:35" ht="15" hidden="1" customHeight="1">
      <c r="A272" s="30">
        <f t="shared" ca="1" si="7"/>
        <v>0</v>
      </c>
      <c r="B272" s="72"/>
      <c r="C272" s="63">
        <v>2807</v>
      </c>
      <c r="D272" s="30" t="s">
        <v>236</v>
      </c>
      <c r="E272" s="30">
        <f>'eoy24'!I553</f>
        <v>0</v>
      </c>
      <c r="F272" s="215"/>
      <c r="G272" s="704"/>
      <c r="H272" s="704"/>
      <c r="I272" s="704"/>
      <c r="W272" s="1"/>
      <c r="X272" s="1"/>
      <c r="Y272" s="1"/>
      <c r="Z272" s="1"/>
      <c r="AA272" s="1"/>
      <c r="AB272" s="1"/>
      <c r="AC272" s="90"/>
      <c r="AD272" s="85"/>
      <c r="AE272" s="1"/>
      <c r="AF272" s="1"/>
      <c r="AG272" s="1"/>
      <c r="AH272" s="111"/>
      <c r="AI272"/>
    </row>
    <row r="273" spans="1:35" ht="15" hidden="1" customHeight="1">
      <c r="A273" s="30">
        <f t="shared" ca="1" si="7"/>
        <v>0</v>
      </c>
      <c r="B273" s="72"/>
      <c r="C273" s="63">
        <v>2808</v>
      </c>
      <c r="D273" s="30" t="s">
        <v>97</v>
      </c>
      <c r="E273" s="30">
        <f>'eoy24'!I554</f>
        <v>0</v>
      </c>
      <c r="F273" s="215"/>
      <c r="G273" s="704"/>
      <c r="H273" s="704"/>
      <c r="I273" s="704"/>
      <c r="W273" s="1"/>
      <c r="X273" s="1"/>
      <c r="Y273" s="1"/>
      <c r="Z273" s="1"/>
      <c r="AA273" s="1"/>
      <c r="AB273" s="1"/>
      <c r="AC273" s="90"/>
      <c r="AD273" s="85"/>
      <c r="AE273" s="1"/>
      <c r="AF273" s="1"/>
      <c r="AG273" s="1"/>
      <c r="AH273" s="111"/>
      <c r="AI273"/>
    </row>
    <row r="274" spans="1:35" ht="15" hidden="1" customHeight="1">
      <c r="A274" s="30">
        <f t="shared" ca="1" si="7"/>
        <v>0</v>
      </c>
      <c r="B274" s="72"/>
      <c r="C274" s="63">
        <v>2809</v>
      </c>
      <c r="D274" s="30" t="s">
        <v>910</v>
      </c>
      <c r="E274" s="30">
        <f>'eoy24'!I555</f>
        <v>0</v>
      </c>
      <c r="F274" s="215"/>
      <c r="G274" s="704"/>
      <c r="H274" s="704"/>
      <c r="I274" s="704"/>
      <c r="W274" s="1"/>
      <c r="X274" s="1"/>
      <c r="Y274" s="1"/>
      <c r="Z274" s="1"/>
      <c r="AA274" s="1"/>
      <c r="AB274" s="1"/>
      <c r="AC274" s="90"/>
      <c r="AD274" s="85"/>
      <c r="AE274" s="1"/>
      <c r="AF274" s="1"/>
      <c r="AG274" s="1"/>
      <c r="AH274" s="111"/>
      <c r="AI274"/>
    </row>
    <row r="275" spans="1:35" ht="15" hidden="1" customHeight="1">
      <c r="A275" s="30">
        <f t="shared" ca="1" si="7"/>
        <v>0</v>
      </c>
      <c r="B275" s="72"/>
      <c r="C275" s="63">
        <v>2810</v>
      </c>
      <c r="D275" s="30" t="s">
        <v>238</v>
      </c>
      <c r="E275" s="30">
        <f ca="1">'eoy24'!I557</f>
        <v>0</v>
      </c>
      <c r="F275" s="215"/>
      <c r="G275" s="704"/>
      <c r="H275" s="704"/>
      <c r="I275" s="704"/>
      <c r="W275" s="1"/>
      <c r="X275" s="1"/>
      <c r="Y275" s="1"/>
      <c r="Z275" s="1"/>
      <c r="AA275" s="1"/>
      <c r="AB275" s="1"/>
      <c r="AC275" s="90"/>
      <c r="AD275" s="85"/>
      <c r="AE275" s="1"/>
      <c r="AF275" s="1"/>
      <c r="AG275" s="1"/>
      <c r="AH275" s="111"/>
      <c r="AI275"/>
    </row>
    <row r="276" spans="1:35" ht="15" hidden="1" customHeight="1">
      <c r="A276" s="30">
        <f t="shared" ca="1" si="7"/>
        <v>0</v>
      </c>
      <c r="B276" s="72"/>
      <c r="C276" s="63">
        <v>2811</v>
      </c>
      <c r="D276" s="30" t="s">
        <v>239</v>
      </c>
      <c r="E276" s="30">
        <f ca="1">'eoy24'!I558</f>
        <v>0</v>
      </c>
      <c r="F276" s="215"/>
      <c r="G276" s="704"/>
      <c r="H276" s="704"/>
      <c r="I276" s="704"/>
      <c r="W276" s="1"/>
      <c r="X276" s="1"/>
      <c r="Y276" s="1"/>
      <c r="Z276" s="1"/>
      <c r="AA276" s="1"/>
      <c r="AB276" s="1"/>
      <c r="AC276" s="90"/>
      <c r="AD276" s="85"/>
      <c r="AE276" s="1"/>
      <c r="AF276" s="1"/>
      <c r="AG276" s="1"/>
      <c r="AH276" s="111"/>
      <c r="AI276"/>
    </row>
    <row r="277" spans="1:35" ht="15" hidden="1" customHeight="1">
      <c r="A277" s="30">
        <f t="shared" ca="1" si="7"/>
        <v>0</v>
      </c>
      <c r="B277" s="72"/>
      <c r="C277" s="63">
        <v>2812</v>
      </c>
      <c r="D277" s="30" t="s">
        <v>102</v>
      </c>
      <c r="E277" s="30">
        <f ca="1">'eoy24'!I559</f>
        <v>0</v>
      </c>
      <c r="F277" s="215"/>
      <c r="G277" s="704"/>
      <c r="H277" s="704"/>
      <c r="I277" s="704"/>
      <c r="W277" s="1"/>
      <c r="X277" s="1"/>
      <c r="Y277" s="1"/>
      <c r="Z277" s="1"/>
      <c r="AA277" s="1"/>
      <c r="AB277" s="1"/>
      <c r="AC277" s="90"/>
      <c r="AD277" s="85"/>
      <c r="AE277" s="1"/>
      <c r="AF277" s="1"/>
      <c r="AG277" s="1"/>
      <c r="AH277" s="111"/>
      <c r="AI277"/>
    </row>
    <row r="278" spans="1:35" ht="15" hidden="1" customHeight="1">
      <c r="A278" s="30">
        <f t="shared" ca="1" si="7"/>
        <v>0</v>
      </c>
      <c r="B278" s="72"/>
      <c r="C278" s="63">
        <v>2814</v>
      </c>
      <c r="D278" s="30" t="s">
        <v>103</v>
      </c>
      <c r="E278" s="30">
        <f ca="1">'eoy24'!I560</f>
        <v>0</v>
      </c>
      <c r="F278" s="215"/>
      <c r="G278" s="704"/>
      <c r="H278" s="704"/>
      <c r="I278" s="704"/>
      <c r="W278" s="1"/>
      <c r="X278" s="1"/>
      <c r="Y278" s="1"/>
      <c r="Z278" s="1"/>
      <c r="AA278" s="1"/>
      <c r="AB278" s="1"/>
      <c r="AC278" s="90"/>
      <c r="AD278" s="85"/>
      <c r="AE278" s="1"/>
      <c r="AF278" s="1"/>
      <c r="AG278" s="1"/>
      <c r="AH278" s="111"/>
      <c r="AI278"/>
    </row>
    <row r="279" spans="1:35" ht="15" hidden="1" customHeight="1">
      <c r="A279" s="30">
        <f t="shared" ca="1" si="7"/>
        <v>0</v>
      </c>
      <c r="B279" s="72"/>
      <c r="C279" s="63">
        <v>2815</v>
      </c>
      <c r="D279" s="30" t="s">
        <v>911</v>
      </c>
      <c r="E279" s="30">
        <f ca="1">'eoy24'!I561</f>
        <v>0</v>
      </c>
      <c r="F279" s="215"/>
      <c r="G279" s="704"/>
      <c r="H279" s="704"/>
      <c r="I279" s="704"/>
      <c r="W279" s="1"/>
      <c r="X279" s="1"/>
      <c r="Y279" s="1"/>
      <c r="Z279" s="1"/>
      <c r="AA279" s="1"/>
      <c r="AB279" s="1"/>
      <c r="AC279" s="90"/>
      <c r="AD279" s="85"/>
      <c r="AE279" s="1"/>
      <c r="AF279" s="1"/>
      <c r="AG279" s="1"/>
      <c r="AH279" s="111"/>
      <c r="AI279"/>
    </row>
    <row r="280" spans="1:35" ht="15" hidden="1" customHeight="1">
      <c r="A280" s="30">
        <f t="shared" ca="1" si="7"/>
        <v>0</v>
      </c>
      <c r="B280" s="72"/>
      <c r="C280" s="63">
        <v>2816</v>
      </c>
      <c r="D280" s="30" t="s">
        <v>105</v>
      </c>
      <c r="E280" s="30">
        <f ca="1">'eoy24'!I562</f>
        <v>0</v>
      </c>
      <c r="F280" s="215"/>
      <c r="G280" s="704"/>
      <c r="H280" s="704"/>
      <c r="I280" s="704"/>
      <c r="W280" s="1"/>
      <c r="X280" s="1"/>
      <c r="Y280" s="1"/>
      <c r="Z280" s="1"/>
      <c r="AA280" s="1"/>
      <c r="AB280" s="1"/>
      <c r="AC280" s="90"/>
      <c r="AD280" s="85"/>
      <c r="AE280" s="1"/>
      <c r="AF280" s="1"/>
      <c r="AG280" s="1"/>
      <c r="AH280" s="111"/>
      <c r="AI280"/>
    </row>
    <row r="281" spans="1:35" ht="15" hidden="1" customHeight="1">
      <c r="A281" s="30">
        <f t="shared" ca="1" si="7"/>
        <v>0</v>
      </c>
      <c r="B281" s="72"/>
      <c r="C281" s="63">
        <v>2817</v>
      </c>
      <c r="D281" s="30" t="s">
        <v>241</v>
      </c>
      <c r="E281" s="30">
        <f ca="1">'eoy24'!I563</f>
        <v>0</v>
      </c>
      <c r="F281" s="215"/>
      <c r="G281" s="704"/>
      <c r="H281" s="704"/>
      <c r="I281" s="704"/>
      <c r="W281" s="1"/>
      <c r="X281" s="1"/>
      <c r="Y281" s="1"/>
      <c r="Z281" s="1"/>
      <c r="AA281" s="1"/>
      <c r="AB281" s="1"/>
      <c r="AC281" s="90"/>
      <c r="AD281" s="85"/>
      <c r="AE281" s="1"/>
      <c r="AF281" s="1"/>
      <c r="AG281" s="1"/>
      <c r="AH281" s="111"/>
      <c r="AI281"/>
    </row>
    <row r="282" spans="1:35" ht="15" hidden="1" customHeight="1">
      <c r="A282" s="30">
        <f t="shared" ca="1" si="7"/>
        <v>0</v>
      </c>
      <c r="B282" s="72"/>
      <c r="C282" s="63">
        <v>2818</v>
      </c>
      <c r="D282" s="30" t="s">
        <v>108</v>
      </c>
      <c r="E282" s="30">
        <f ca="1">'eoy24'!I564</f>
        <v>0</v>
      </c>
      <c r="F282" s="215"/>
      <c r="G282" s="704"/>
      <c r="H282" s="704"/>
      <c r="I282" s="704"/>
      <c r="W282" s="1"/>
      <c r="X282" s="1"/>
      <c r="Y282" s="1"/>
      <c r="Z282" s="1"/>
      <c r="AA282" s="1"/>
      <c r="AB282" s="1"/>
      <c r="AC282" s="90"/>
      <c r="AD282" s="85"/>
      <c r="AE282" s="1"/>
      <c r="AF282" s="1"/>
      <c r="AG282" s="1"/>
      <c r="AH282" s="111"/>
      <c r="AI282"/>
    </row>
    <row r="283" spans="1:35" ht="15" hidden="1" customHeight="1">
      <c r="A283" s="30">
        <f t="shared" ca="1" si="7"/>
        <v>0</v>
      </c>
      <c r="B283" s="72"/>
      <c r="C283" s="63">
        <v>2819</v>
      </c>
      <c r="D283" s="30" t="s">
        <v>109</v>
      </c>
      <c r="E283" s="30">
        <f ca="1">'eoy24'!I565</f>
        <v>0</v>
      </c>
      <c r="F283" s="215"/>
      <c r="G283" s="704"/>
      <c r="H283" s="704"/>
      <c r="I283" s="704"/>
      <c r="W283" s="1"/>
      <c r="X283" s="1"/>
      <c r="Y283" s="1"/>
      <c r="Z283" s="1"/>
      <c r="AA283" s="1"/>
      <c r="AB283" s="1"/>
      <c r="AC283" s="90"/>
      <c r="AD283" s="85"/>
      <c r="AE283" s="1"/>
      <c r="AF283" s="1"/>
      <c r="AG283" s="1"/>
      <c r="AH283" s="111"/>
      <c r="AI283"/>
    </row>
    <row r="284" spans="1:35" ht="15" hidden="1" customHeight="1">
      <c r="A284" s="30">
        <f t="shared" ca="1" si="7"/>
        <v>0</v>
      </c>
      <c r="B284" s="72"/>
      <c r="C284" s="63">
        <v>2820</v>
      </c>
      <c r="D284" s="30" t="s">
        <v>242</v>
      </c>
      <c r="E284" s="30">
        <f ca="1">'eoy24'!I566</f>
        <v>0</v>
      </c>
      <c r="F284" s="215"/>
      <c r="G284" s="704"/>
      <c r="H284" s="704"/>
      <c r="I284" s="704"/>
      <c r="W284" s="1"/>
      <c r="X284" s="1"/>
      <c r="Y284" s="1"/>
      <c r="Z284" s="1"/>
      <c r="AA284" s="1"/>
      <c r="AB284" s="1"/>
      <c r="AC284" s="90"/>
      <c r="AD284" s="85"/>
      <c r="AE284" s="1"/>
      <c r="AF284" s="1"/>
      <c r="AG284" s="1"/>
      <c r="AH284" s="111"/>
      <c r="AI284"/>
    </row>
    <row r="285" spans="1:35" ht="15" hidden="1" customHeight="1">
      <c r="A285" s="30">
        <f t="shared" ca="1" si="7"/>
        <v>0</v>
      </c>
      <c r="B285" s="72"/>
      <c r="C285" s="63">
        <v>2821</v>
      </c>
      <c r="D285" s="30" t="s">
        <v>111</v>
      </c>
      <c r="E285" s="30">
        <f ca="1">'eoy24'!I567</f>
        <v>0</v>
      </c>
      <c r="F285" s="215"/>
      <c r="G285" s="704"/>
      <c r="H285" s="704"/>
      <c r="I285" s="704"/>
      <c r="W285" s="1"/>
      <c r="X285" s="1"/>
      <c r="Y285" s="1"/>
      <c r="Z285" s="1"/>
      <c r="AA285" s="1"/>
      <c r="AB285" s="1"/>
      <c r="AC285" s="90"/>
      <c r="AD285" s="85"/>
      <c r="AE285" s="1"/>
      <c r="AF285" s="1"/>
      <c r="AG285" s="1"/>
      <c r="AH285" s="111"/>
      <c r="AI285"/>
    </row>
    <row r="286" spans="1:35" ht="15" hidden="1" customHeight="1">
      <c r="A286" s="30">
        <f t="shared" ca="1" si="7"/>
        <v>0</v>
      </c>
      <c r="B286" s="72"/>
      <c r="C286" s="63">
        <v>2822</v>
      </c>
      <c r="D286" s="30" t="s">
        <v>896</v>
      </c>
      <c r="E286" s="30">
        <f ca="1">'eoy24'!I568</f>
        <v>0</v>
      </c>
      <c r="F286" s="215"/>
      <c r="G286" s="704"/>
      <c r="H286" s="704"/>
      <c r="I286" s="704"/>
      <c r="W286" s="1"/>
      <c r="X286" s="1"/>
      <c r="Y286" s="1"/>
      <c r="Z286" s="1"/>
      <c r="AA286" s="1"/>
      <c r="AB286" s="1"/>
      <c r="AC286" s="90"/>
      <c r="AD286" s="85"/>
      <c r="AE286" s="1"/>
      <c r="AF286" s="1"/>
      <c r="AG286" s="1"/>
      <c r="AH286" s="111"/>
      <c r="AI286"/>
    </row>
    <row r="287" spans="1:35" ht="15" hidden="1" customHeight="1">
      <c r="A287" s="30">
        <f t="shared" ca="1" si="7"/>
        <v>0</v>
      </c>
      <c r="B287" s="72"/>
      <c r="C287" s="63">
        <v>2823</v>
      </c>
      <c r="D287" s="30" t="s">
        <v>113</v>
      </c>
      <c r="E287" s="30">
        <f ca="1">'eoy24'!I569</f>
        <v>0</v>
      </c>
      <c r="F287" s="215"/>
      <c r="G287" s="704"/>
      <c r="H287" s="704"/>
      <c r="I287" s="704"/>
      <c r="W287" s="1"/>
      <c r="X287" s="1"/>
      <c r="Y287" s="1"/>
      <c r="Z287" s="1"/>
      <c r="AA287" s="1"/>
      <c r="AB287" s="1"/>
      <c r="AC287" s="90"/>
      <c r="AD287" s="85"/>
      <c r="AE287" s="1"/>
      <c r="AF287" s="1"/>
      <c r="AG287" s="1"/>
      <c r="AH287" s="111"/>
      <c r="AI287"/>
    </row>
    <row r="288" spans="1:35" ht="15" hidden="1" customHeight="1">
      <c r="A288" s="30">
        <f t="shared" ca="1" si="7"/>
        <v>0</v>
      </c>
      <c r="B288" s="72"/>
      <c r="C288" s="63">
        <v>2824</v>
      </c>
      <c r="D288" s="30" t="s">
        <v>114</v>
      </c>
      <c r="E288" s="30">
        <f ca="1">'eoy24'!I570</f>
        <v>0</v>
      </c>
      <c r="F288" s="215"/>
      <c r="G288" s="704"/>
      <c r="H288" s="704"/>
      <c r="I288" s="704"/>
      <c r="W288" s="1"/>
      <c r="X288" s="1"/>
      <c r="Y288" s="1"/>
      <c r="Z288" s="1"/>
      <c r="AA288" s="1"/>
      <c r="AB288" s="1"/>
      <c r="AC288" s="90"/>
      <c r="AD288" s="85"/>
      <c r="AE288" s="1"/>
      <c r="AF288" s="1"/>
      <c r="AG288" s="1"/>
      <c r="AH288" s="111"/>
      <c r="AI288"/>
    </row>
    <row r="289" spans="1:35" ht="15" hidden="1" customHeight="1">
      <c r="A289" s="30">
        <f t="shared" ca="1" si="7"/>
        <v>0</v>
      </c>
      <c r="B289" s="72"/>
      <c r="C289" s="63">
        <v>2825</v>
      </c>
      <c r="D289" s="30" t="s">
        <v>115</v>
      </c>
      <c r="E289" s="30">
        <f ca="1">'eoy24'!I571</f>
        <v>0</v>
      </c>
      <c r="F289" s="215"/>
      <c r="G289" s="704"/>
      <c r="H289" s="704"/>
      <c r="I289" s="704"/>
      <c r="W289" s="1"/>
      <c r="X289" s="1"/>
      <c r="Y289" s="1"/>
      <c r="Z289" s="1"/>
      <c r="AA289" s="1"/>
      <c r="AB289" s="1"/>
      <c r="AC289" s="90"/>
      <c r="AD289" s="85"/>
      <c r="AE289" s="1"/>
      <c r="AF289" s="1"/>
      <c r="AG289" s="1"/>
      <c r="AH289" s="111"/>
      <c r="AI289"/>
    </row>
    <row r="290" spans="1:35" ht="15" hidden="1" customHeight="1">
      <c r="A290" s="30">
        <f t="shared" ca="1" si="7"/>
        <v>0</v>
      </c>
      <c r="B290" s="72"/>
      <c r="C290" s="63">
        <v>2826</v>
      </c>
      <c r="D290" s="30" t="s">
        <v>243</v>
      </c>
      <c r="E290" s="30">
        <f ca="1">'eoy24'!I572</f>
        <v>0</v>
      </c>
      <c r="F290" s="215"/>
      <c r="G290" s="704"/>
      <c r="H290" s="704"/>
      <c r="I290" s="704"/>
      <c r="W290" s="1"/>
      <c r="X290" s="1"/>
      <c r="Y290" s="1"/>
      <c r="Z290" s="1"/>
      <c r="AA290" s="1"/>
      <c r="AB290" s="1"/>
      <c r="AC290" s="90"/>
      <c r="AD290" s="85"/>
      <c r="AE290" s="1"/>
      <c r="AF290" s="1"/>
      <c r="AG290" s="1"/>
      <c r="AH290" s="111"/>
      <c r="AI290"/>
    </row>
    <row r="291" spans="1:35" ht="15" hidden="1" customHeight="1">
      <c r="A291" s="30">
        <f t="shared" ca="1" si="7"/>
        <v>0</v>
      </c>
      <c r="B291" s="72"/>
      <c r="C291" s="63">
        <v>2827</v>
      </c>
      <c r="D291" s="30" t="s">
        <v>117</v>
      </c>
      <c r="E291" s="30">
        <f ca="1">'eoy24'!I573</f>
        <v>0</v>
      </c>
      <c r="F291" s="215"/>
      <c r="G291" s="704"/>
      <c r="H291" s="704"/>
      <c r="I291" s="704"/>
      <c r="W291" s="1"/>
      <c r="X291" s="1"/>
      <c r="Y291" s="1"/>
      <c r="Z291" s="1"/>
      <c r="AA291" s="1"/>
      <c r="AB291" s="1"/>
      <c r="AC291" s="90"/>
      <c r="AD291" s="85"/>
      <c r="AE291" s="1"/>
      <c r="AF291" s="1"/>
      <c r="AG291" s="1"/>
      <c r="AH291" s="111"/>
      <c r="AI291"/>
    </row>
    <row r="292" spans="1:35" ht="15" hidden="1" customHeight="1">
      <c r="A292" s="30">
        <f t="shared" ca="1" si="7"/>
        <v>0</v>
      </c>
      <c r="B292" s="72"/>
      <c r="C292" s="63">
        <v>2828</v>
      </c>
      <c r="D292" s="30" t="s">
        <v>118</v>
      </c>
      <c r="E292" s="30">
        <f ca="1">'eoy24'!I574</f>
        <v>0</v>
      </c>
      <c r="F292" s="215"/>
      <c r="G292" s="704"/>
      <c r="H292" s="704"/>
      <c r="I292" s="704"/>
      <c r="W292" s="1"/>
      <c r="X292" s="1"/>
      <c r="Y292" s="1"/>
      <c r="Z292" s="1"/>
      <c r="AA292" s="1"/>
      <c r="AB292" s="1"/>
      <c r="AC292" s="90"/>
      <c r="AD292" s="85"/>
      <c r="AE292" s="1"/>
      <c r="AF292" s="1"/>
      <c r="AG292" s="1"/>
      <c r="AH292" s="111"/>
      <c r="AI292"/>
    </row>
    <row r="293" spans="1:35" ht="15" hidden="1" customHeight="1">
      <c r="A293" s="30">
        <f t="shared" ca="1" si="7"/>
        <v>0</v>
      </c>
      <c r="B293" s="72"/>
      <c r="C293" s="63">
        <v>2829</v>
      </c>
      <c r="D293" s="30" t="s">
        <v>119</v>
      </c>
      <c r="E293" s="30">
        <f ca="1">'eoy24'!I575</f>
        <v>0</v>
      </c>
      <c r="F293" s="215"/>
      <c r="G293" s="704"/>
      <c r="H293" s="704"/>
      <c r="I293" s="704"/>
      <c r="W293" s="1"/>
      <c r="X293" s="1"/>
      <c r="Y293" s="1"/>
      <c r="Z293" s="1"/>
      <c r="AA293" s="1"/>
      <c r="AB293" s="1"/>
      <c r="AC293" s="90"/>
      <c r="AD293" s="85"/>
      <c r="AE293" s="1"/>
      <c r="AF293" s="1"/>
      <c r="AG293" s="1"/>
      <c r="AH293" s="111"/>
      <c r="AI293"/>
    </row>
    <row r="294" spans="1:35" ht="15" hidden="1" customHeight="1">
      <c r="A294" s="30">
        <f t="shared" ca="1" si="7"/>
        <v>0</v>
      </c>
      <c r="B294" s="72"/>
      <c r="C294" s="63">
        <v>2830</v>
      </c>
      <c r="D294" s="30" t="s">
        <v>120</v>
      </c>
      <c r="E294" s="30">
        <f ca="1">'eoy24'!I576</f>
        <v>0</v>
      </c>
      <c r="F294" s="215"/>
      <c r="G294" s="704"/>
      <c r="H294" s="704"/>
      <c r="I294" s="704"/>
      <c r="W294" s="1"/>
      <c r="X294" s="1"/>
      <c r="Y294" s="1"/>
      <c r="Z294" s="1"/>
      <c r="AA294" s="1"/>
      <c r="AB294" s="1"/>
      <c r="AC294" s="90"/>
      <c r="AD294" s="85"/>
      <c r="AE294" s="1"/>
      <c r="AF294" s="1"/>
      <c r="AG294" s="1"/>
      <c r="AH294" s="111"/>
      <c r="AI294"/>
    </row>
    <row r="295" spans="1:35" ht="15" hidden="1" customHeight="1">
      <c r="A295" s="30">
        <f t="shared" ca="1" si="7"/>
        <v>0</v>
      </c>
      <c r="B295" s="72"/>
      <c r="C295" s="63">
        <v>2831</v>
      </c>
      <c r="D295" s="30" t="s">
        <v>121</v>
      </c>
      <c r="E295" s="30">
        <f ca="1">'eoy24'!I577</f>
        <v>0</v>
      </c>
      <c r="F295" s="215"/>
      <c r="G295" s="704"/>
      <c r="H295" s="704"/>
      <c r="I295" s="704"/>
      <c r="W295" s="1"/>
      <c r="X295" s="1"/>
      <c r="Y295" s="1"/>
      <c r="Z295" s="1"/>
      <c r="AA295" s="1"/>
      <c r="AB295" s="1"/>
      <c r="AC295" s="90"/>
      <c r="AD295" s="85"/>
      <c r="AE295" s="1"/>
      <c r="AF295" s="1"/>
      <c r="AG295" s="1"/>
      <c r="AH295" s="111"/>
      <c r="AI295"/>
    </row>
    <row r="296" spans="1:35" ht="15" hidden="1" customHeight="1">
      <c r="A296" s="30">
        <f t="shared" ca="1" si="7"/>
        <v>0</v>
      </c>
      <c r="B296" s="72"/>
      <c r="C296" s="63">
        <v>2832</v>
      </c>
      <c r="D296" s="30" t="s">
        <v>122</v>
      </c>
      <c r="E296" s="30">
        <f ca="1">'eoy24'!I578</f>
        <v>0</v>
      </c>
      <c r="F296" s="215"/>
      <c r="G296" s="704"/>
      <c r="H296" s="704"/>
      <c r="I296" s="704"/>
      <c r="W296" s="1"/>
      <c r="X296" s="1"/>
      <c r="Y296" s="1"/>
      <c r="Z296" s="1"/>
      <c r="AA296" s="1"/>
      <c r="AB296" s="1"/>
      <c r="AC296" s="90"/>
      <c r="AD296" s="85"/>
      <c r="AE296" s="1"/>
      <c r="AF296" s="1"/>
      <c r="AG296" s="1"/>
      <c r="AH296" s="111"/>
      <c r="AI296"/>
    </row>
    <row r="297" spans="1:35" ht="15" hidden="1" customHeight="1">
      <c r="A297" s="30">
        <f t="shared" ca="1" si="7"/>
        <v>0</v>
      </c>
      <c r="B297" s="72"/>
      <c r="C297" s="63">
        <v>2833</v>
      </c>
      <c r="D297" s="30" t="s">
        <v>123</v>
      </c>
      <c r="E297" s="30">
        <f ca="1">'eoy24'!I579</f>
        <v>0</v>
      </c>
      <c r="F297" s="215"/>
      <c r="G297" s="704"/>
      <c r="H297" s="704"/>
      <c r="I297" s="704"/>
      <c r="W297" s="1"/>
      <c r="X297" s="1"/>
      <c r="Y297" s="1"/>
      <c r="Z297" s="1"/>
      <c r="AA297" s="1"/>
      <c r="AB297" s="1"/>
      <c r="AC297" s="90"/>
      <c r="AD297" s="85"/>
      <c r="AE297" s="1"/>
      <c r="AF297" s="1"/>
      <c r="AG297" s="1"/>
      <c r="AH297" s="111"/>
      <c r="AI297"/>
    </row>
    <row r="298" spans="1:35" ht="15" hidden="1" customHeight="1">
      <c r="A298" s="30">
        <f t="shared" ca="1" si="7"/>
        <v>0</v>
      </c>
      <c r="B298" s="72"/>
      <c r="C298" s="63">
        <v>2834</v>
      </c>
      <c r="D298" s="30" t="s">
        <v>124</v>
      </c>
      <c r="E298" s="30">
        <f ca="1">'eoy24'!I580</f>
        <v>0</v>
      </c>
      <c r="F298" s="215"/>
      <c r="G298" s="704"/>
      <c r="H298" s="704"/>
      <c r="I298" s="704"/>
      <c r="W298" s="1"/>
      <c r="X298" s="1"/>
      <c r="Y298" s="1"/>
      <c r="Z298" s="1"/>
      <c r="AA298" s="1"/>
      <c r="AB298" s="1"/>
      <c r="AC298" s="90"/>
      <c r="AD298" s="85"/>
      <c r="AE298" s="1"/>
      <c r="AF298" s="1"/>
      <c r="AG298" s="1"/>
      <c r="AH298" s="111"/>
      <c r="AI298"/>
    </row>
    <row r="299" spans="1:35" ht="15" hidden="1" customHeight="1">
      <c r="A299" s="30">
        <f t="shared" ca="1" si="7"/>
        <v>0</v>
      </c>
      <c r="B299" s="72"/>
      <c r="C299" s="63">
        <v>2835</v>
      </c>
      <c r="D299" s="30" t="s">
        <v>125</v>
      </c>
      <c r="E299" s="30">
        <f ca="1">'eoy24'!I581</f>
        <v>0</v>
      </c>
      <c r="F299" s="215"/>
      <c r="G299" s="704"/>
      <c r="H299" s="704"/>
      <c r="I299" s="704"/>
      <c r="W299" s="1"/>
      <c r="X299" s="1"/>
      <c r="Y299" s="1"/>
      <c r="Z299" s="1"/>
      <c r="AA299" s="1"/>
      <c r="AB299" s="1"/>
      <c r="AC299" s="90"/>
      <c r="AD299" s="85"/>
      <c r="AE299" s="1"/>
      <c r="AF299" s="1"/>
      <c r="AG299" s="1"/>
      <c r="AH299" s="111"/>
      <c r="AI299"/>
    </row>
    <row r="300" spans="1:35" ht="15" hidden="1" customHeight="1">
      <c r="A300" s="30">
        <f t="shared" ca="1" si="7"/>
        <v>0</v>
      </c>
      <c r="B300" s="72"/>
      <c r="C300" s="63">
        <v>2836</v>
      </c>
      <c r="D300" s="30" t="s">
        <v>244</v>
      </c>
      <c r="E300" s="30">
        <f ca="1">'eoy24'!I582</f>
        <v>0</v>
      </c>
      <c r="F300" s="215"/>
      <c r="G300" s="704"/>
      <c r="H300" s="704"/>
      <c r="I300" s="704"/>
      <c r="W300" s="1"/>
      <c r="X300" s="1"/>
      <c r="Y300" s="1"/>
      <c r="Z300" s="1"/>
      <c r="AA300" s="1"/>
      <c r="AB300" s="1"/>
      <c r="AC300" s="90"/>
      <c r="AD300" s="85"/>
      <c r="AE300" s="1"/>
      <c r="AF300" s="1"/>
      <c r="AG300" s="1"/>
      <c r="AH300" s="111"/>
      <c r="AI300"/>
    </row>
    <row r="301" spans="1:35" ht="15" hidden="1" customHeight="1">
      <c r="A301" s="30">
        <f t="shared" ca="1" si="7"/>
        <v>0</v>
      </c>
      <c r="B301" s="72"/>
      <c r="C301" s="63">
        <v>2900</v>
      </c>
      <c r="D301" s="30" t="s">
        <v>127</v>
      </c>
      <c r="E301" s="30">
        <f ca="1">'eoy24'!I583</f>
        <v>0</v>
      </c>
      <c r="F301" s="215"/>
      <c r="G301" s="704"/>
      <c r="H301" s="704"/>
      <c r="I301" s="704"/>
      <c r="W301" s="1"/>
      <c r="X301" s="1"/>
      <c r="Y301" s="1"/>
      <c r="Z301" s="1"/>
      <c r="AA301" s="1"/>
      <c r="AB301" s="1"/>
      <c r="AC301" s="90"/>
      <c r="AD301" s="85"/>
      <c r="AE301" s="1"/>
      <c r="AF301" s="1"/>
      <c r="AG301" s="1"/>
      <c r="AH301" s="111"/>
      <c r="AI301"/>
    </row>
    <row r="302" spans="1:35" ht="15" hidden="1" customHeight="1">
      <c r="A302" s="30">
        <f t="shared" ca="1" si="7"/>
        <v>0</v>
      </c>
      <c r="B302" s="72"/>
      <c r="C302" s="63">
        <v>2901</v>
      </c>
      <c r="D302" s="30" t="s">
        <v>128</v>
      </c>
      <c r="E302" s="30">
        <f ca="1">'eoy24'!I584</f>
        <v>0</v>
      </c>
      <c r="F302" s="215"/>
      <c r="G302" s="704"/>
      <c r="H302" s="704"/>
      <c r="I302" s="704"/>
      <c r="W302" s="1"/>
      <c r="X302" s="1"/>
      <c r="Y302" s="1"/>
      <c r="Z302" s="1"/>
      <c r="AA302" s="1"/>
      <c r="AB302" s="1"/>
      <c r="AC302" s="90"/>
      <c r="AD302" s="85"/>
      <c r="AE302" s="1"/>
      <c r="AF302" s="1"/>
      <c r="AG302" s="1"/>
      <c r="AH302" s="111"/>
      <c r="AI302"/>
    </row>
    <row r="303" spans="1:35" ht="15" hidden="1" customHeight="1">
      <c r="A303" s="30">
        <f t="shared" ca="1" si="7"/>
        <v>0</v>
      </c>
      <c r="B303" s="72"/>
      <c r="C303" s="63">
        <v>2910</v>
      </c>
      <c r="D303" s="30" t="s">
        <v>129</v>
      </c>
      <c r="E303" s="30">
        <f>'eoy24'!I587</f>
        <v>0</v>
      </c>
      <c r="F303" s="215"/>
      <c r="G303" s="704"/>
      <c r="H303" s="704"/>
      <c r="I303" s="704"/>
      <c r="W303" s="1"/>
      <c r="X303" s="1"/>
      <c r="Y303" s="1"/>
      <c r="Z303" s="1"/>
      <c r="AA303" s="1"/>
      <c r="AB303" s="1"/>
      <c r="AC303" s="90"/>
      <c r="AD303" s="85"/>
      <c r="AE303" s="1"/>
      <c r="AF303" s="1"/>
      <c r="AG303" s="1"/>
      <c r="AH303" s="111"/>
      <c r="AI303"/>
    </row>
    <row r="304" spans="1:35" ht="15" hidden="1" customHeight="1">
      <c r="A304" s="30">
        <f t="shared" ca="1" si="7"/>
        <v>0</v>
      </c>
      <c r="B304" s="72"/>
      <c r="C304" s="63">
        <v>2920</v>
      </c>
      <c r="D304" s="30" t="s">
        <v>130</v>
      </c>
      <c r="E304" s="30">
        <f>'eoy24'!I588</f>
        <v>32851</v>
      </c>
      <c r="F304" s="215"/>
      <c r="G304" s="704"/>
      <c r="H304" s="704"/>
      <c r="I304" s="704"/>
      <c r="W304" s="1"/>
      <c r="X304" s="1"/>
      <c r="Y304" s="1"/>
      <c r="Z304" s="1"/>
      <c r="AA304" s="1"/>
      <c r="AB304" s="1"/>
      <c r="AC304" s="90"/>
      <c r="AD304" s="85"/>
      <c r="AE304" s="1"/>
      <c r="AF304" s="1"/>
      <c r="AG304" s="1"/>
      <c r="AH304" s="111"/>
      <c r="AI304"/>
    </row>
    <row r="305" spans="1:35" ht="15" hidden="1" customHeight="1">
      <c r="A305" s="30">
        <f t="shared" ca="1" si="7"/>
        <v>0</v>
      </c>
      <c r="B305" s="72"/>
      <c r="C305" s="63">
        <v>2930</v>
      </c>
      <c r="D305" s="30" t="s">
        <v>131</v>
      </c>
      <c r="E305" s="30">
        <f>'eoy24'!I589</f>
        <v>0</v>
      </c>
      <c r="F305" s="215"/>
      <c r="G305" s="704"/>
      <c r="H305" s="704"/>
      <c r="I305" s="704"/>
      <c r="W305" s="1"/>
      <c r="X305" s="1"/>
      <c r="Y305" s="1"/>
      <c r="Z305" s="1"/>
      <c r="AA305" s="1"/>
      <c r="AB305" s="1"/>
      <c r="AC305" s="90"/>
      <c r="AD305" s="85"/>
      <c r="AE305" s="1"/>
      <c r="AF305" s="1"/>
      <c r="AG305" s="1"/>
      <c r="AH305" s="111"/>
      <c r="AI305"/>
    </row>
    <row r="306" spans="1:35" ht="15" hidden="1" customHeight="1">
      <c r="A306" s="30">
        <f t="shared" ca="1" si="7"/>
        <v>0</v>
      </c>
      <c r="B306" s="72"/>
      <c r="C306" s="63">
        <v>2940</v>
      </c>
      <c r="D306" s="30" t="s">
        <v>132</v>
      </c>
      <c r="E306" s="30">
        <f>'eoy24'!I590</f>
        <v>0</v>
      </c>
      <c r="F306" s="215"/>
      <c r="G306" s="704"/>
      <c r="H306" s="704"/>
      <c r="I306" s="704"/>
      <c r="W306" s="1"/>
      <c r="X306" s="1"/>
      <c r="Y306" s="1"/>
      <c r="Z306" s="1"/>
      <c r="AA306" s="1"/>
      <c r="AB306" s="1"/>
      <c r="AC306" s="90"/>
      <c r="AD306" s="85"/>
      <c r="AE306" s="1"/>
      <c r="AF306" s="1"/>
      <c r="AG306" s="1"/>
      <c r="AH306" s="111"/>
      <c r="AI306"/>
    </row>
    <row r="307" spans="1:35" ht="15" hidden="1" customHeight="1">
      <c r="A307" s="30">
        <f t="shared" ca="1" si="7"/>
        <v>0</v>
      </c>
      <c r="B307" s="72"/>
      <c r="C307" s="63">
        <v>2950</v>
      </c>
      <c r="D307" s="30" t="s">
        <v>134</v>
      </c>
      <c r="E307" s="30">
        <f>'eoy24'!I591</f>
        <v>0</v>
      </c>
      <c r="F307" s="215"/>
      <c r="G307" s="704"/>
      <c r="H307" s="704"/>
      <c r="I307" s="704"/>
      <c r="W307" s="1"/>
      <c r="X307" s="1"/>
      <c r="Y307" s="1"/>
      <c r="Z307" s="1"/>
      <c r="AA307" s="1"/>
      <c r="AB307" s="1"/>
      <c r="AC307" s="90"/>
      <c r="AD307" s="85"/>
      <c r="AE307" s="1"/>
      <c r="AF307" s="1"/>
      <c r="AG307" s="1"/>
      <c r="AH307" s="111"/>
      <c r="AI307"/>
    </row>
    <row r="308" spans="1:35" ht="15" hidden="1" customHeight="1">
      <c r="A308" s="30">
        <f t="shared" ca="1" si="7"/>
        <v>0</v>
      </c>
      <c r="B308" s="72"/>
      <c r="C308" s="63">
        <v>2960</v>
      </c>
      <c r="D308" s="30" t="s">
        <v>246</v>
      </c>
      <c r="E308" s="30">
        <f>'eoy24'!I592</f>
        <v>0</v>
      </c>
      <c r="F308" s="215"/>
      <c r="G308" s="704"/>
      <c r="H308" s="704"/>
      <c r="I308" s="704"/>
      <c r="W308" s="1"/>
      <c r="X308" s="1"/>
      <c r="Y308" s="1"/>
      <c r="Z308" s="1"/>
      <c r="AA308" s="1"/>
      <c r="AB308" s="1"/>
      <c r="AC308" s="90"/>
      <c r="AD308" s="85"/>
      <c r="AE308" s="1"/>
      <c r="AF308" s="1"/>
      <c r="AG308" s="1"/>
      <c r="AH308" s="111"/>
      <c r="AI308"/>
    </row>
    <row r="309" spans="1:35" ht="15" hidden="1" customHeight="1">
      <c r="A309" s="30">
        <f t="shared" ca="1" si="7"/>
        <v>0</v>
      </c>
      <c r="B309" s="72"/>
      <c r="C309" s="63">
        <v>2965</v>
      </c>
      <c r="D309" s="30" t="s">
        <v>247</v>
      </c>
      <c r="E309" s="30">
        <f>'eoy24'!I593</f>
        <v>0</v>
      </c>
      <c r="F309" s="215"/>
      <c r="G309" s="704"/>
      <c r="H309" s="704"/>
      <c r="I309" s="704"/>
      <c r="W309" s="1"/>
      <c r="X309" s="1"/>
      <c r="Y309" s="1"/>
      <c r="Z309" s="1"/>
      <c r="AA309" s="1"/>
      <c r="AB309" s="1"/>
      <c r="AC309" s="90"/>
      <c r="AD309" s="85"/>
      <c r="AE309" s="1"/>
      <c r="AF309" s="1"/>
      <c r="AG309" s="1"/>
      <c r="AH309" s="111"/>
      <c r="AI309"/>
    </row>
    <row r="310" spans="1:35" ht="15" hidden="1" customHeight="1">
      <c r="A310" s="30">
        <f t="shared" ca="1" si="7"/>
        <v>0</v>
      </c>
      <c r="B310" s="72"/>
      <c r="C310" s="63">
        <v>2971</v>
      </c>
      <c r="D310" s="30" t="s">
        <v>137</v>
      </c>
      <c r="E310" s="30">
        <f>'eoy24'!I594</f>
        <v>0</v>
      </c>
      <c r="F310" s="215"/>
      <c r="G310" s="704"/>
      <c r="H310" s="704"/>
      <c r="I310" s="704"/>
      <c r="W310" s="1"/>
      <c r="X310" s="1"/>
      <c r="Y310" s="1"/>
      <c r="Z310" s="1"/>
      <c r="AA310" s="1"/>
      <c r="AB310" s="1"/>
      <c r="AC310" s="90"/>
      <c r="AD310" s="85"/>
      <c r="AE310" s="1"/>
      <c r="AF310" s="1"/>
      <c r="AG310" s="1"/>
      <c r="AH310" s="111"/>
      <c r="AI310"/>
    </row>
    <row r="311" spans="1:35" ht="15" hidden="1" customHeight="1">
      <c r="A311" s="30">
        <f t="shared" ca="1" si="7"/>
        <v>0</v>
      </c>
      <c r="B311" s="72"/>
      <c r="C311" s="63">
        <v>2972</v>
      </c>
      <c r="D311" s="30" t="s">
        <v>138</v>
      </c>
      <c r="E311" s="30">
        <f>'eoy24'!I595</f>
        <v>0</v>
      </c>
      <c r="F311" s="215"/>
      <c r="G311" s="704"/>
      <c r="H311" s="704"/>
      <c r="I311" s="704"/>
      <c r="W311" s="1"/>
      <c r="X311" s="1"/>
      <c r="Y311" s="1"/>
      <c r="Z311" s="1"/>
      <c r="AA311" s="1"/>
      <c r="AB311" s="1"/>
      <c r="AC311" s="90"/>
      <c r="AD311" s="85"/>
      <c r="AE311" s="1"/>
      <c r="AF311" s="1"/>
      <c r="AG311" s="1"/>
      <c r="AH311" s="111"/>
      <c r="AI311"/>
    </row>
    <row r="312" spans="1:35" ht="15" hidden="1" customHeight="1">
      <c r="A312" s="30">
        <f t="shared" ca="1" si="7"/>
        <v>0</v>
      </c>
      <c r="B312" s="72"/>
      <c r="C312" s="63">
        <v>2973</v>
      </c>
      <c r="D312" s="30" t="s">
        <v>139</v>
      </c>
      <c r="E312" s="30">
        <f>'eoy24'!I596</f>
        <v>0</v>
      </c>
      <c r="F312" s="215"/>
      <c r="G312" s="704"/>
      <c r="H312" s="704"/>
      <c r="I312" s="704"/>
      <c r="W312" s="1"/>
      <c r="X312" s="1"/>
      <c r="Y312" s="1"/>
      <c r="Z312" s="1"/>
      <c r="AA312" s="1"/>
      <c r="AB312" s="1"/>
      <c r="AC312" s="90"/>
      <c r="AD312" s="85"/>
      <c r="AE312" s="1"/>
      <c r="AF312" s="1"/>
      <c r="AG312" s="1"/>
      <c r="AH312" s="111"/>
      <c r="AI312"/>
    </row>
    <row r="313" spans="1:35" ht="15" hidden="1" customHeight="1">
      <c r="A313" s="30">
        <f t="shared" ca="1" si="7"/>
        <v>0</v>
      </c>
      <c r="B313" s="72"/>
      <c r="C313" s="63">
        <v>2974</v>
      </c>
      <c r="D313" s="30" t="s">
        <v>140</v>
      </c>
      <c r="E313" s="30">
        <f>'eoy24'!I597</f>
        <v>0</v>
      </c>
      <c r="F313" s="215"/>
      <c r="G313" s="704"/>
      <c r="H313" s="704"/>
      <c r="I313" s="704"/>
      <c r="W313" s="1"/>
      <c r="X313" s="1"/>
      <c r="Y313" s="1"/>
      <c r="Z313" s="1"/>
      <c r="AA313" s="1"/>
      <c r="AB313" s="1"/>
      <c r="AC313" s="90"/>
      <c r="AD313" s="85"/>
      <c r="AE313" s="1"/>
      <c r="AF313" s="1"/>
      <c r="AG313" s="1"/>
      <c r="AH313" s="111"/>
      <c r="AI313"/>
    </row>
    <row r="314" spans="1:35" ht="15" hidden="1" customHeight="1">
      <c r="A314" s="30">
        <f t="shared" ca="1" si="7"/>
        <v>0</v>
      </c>
      <c r="B314" s="72"/>
      <c r="C314" s="63">
        <v>2975</v>
      </c>
      <c r="D314" s="30" t="s">
        <v>141</v>
      </c>
      <c r="E314" s="30">
        <f>'eoy24'!I598</f>
        <v>0</v>
      </c>
      <c r="F314" s="215"/>
      <c r="G314" s="704"/>
      <c r="H314" s="704"/>
      <c r="I314" s="704"/>
      <c r="W314" s="1"/>
      <c r="X314" s="1"/>
      <c r="Y314" s="1"/>
      <c r="Z314" s="1"/>
      <c r="AA314" s="1"/>
      <c r="AB314" s="1"/>
      <c r="AC314" s="90"/>
      <c r="AD314" s="85"/>
      <c r="AE314" s="1"/>
      <c r="AF314" s="1"/>
      <c r="AG314" s="1"/>
      <c r="AH314" s="111"/>
      <c r="AI314"/>
    </row>
    <row r="315" spans="1:35" ht="15" hidden="1" customHeight="1">
      <c r="A315" s="30">
        <f t="shared" ca="1" si="7"/>
        <v>0</v>
      </c>
      <c r="B315" s="72"/>
      <c r="C315" s="63">
        <v>2976</v>
      </c>
      <c r="D315" s="30" t="s">
        <v>142</v>
      </c>
      <c r="E315" s="30">
        <f>'eoy24'!I599</f>
        <v>0</v>
      </c>
      <c r="F315" s="215"/>
      <c r="G315" s="704"/>
      <c r="H315" s="704"/>
      <c r="I315" s="704"/>
      <c r="W315" s="1"/>
      <c r="X315" s="1"/>
      <c r="Y315" s="1"/>
      <c r="Z315" s="1"/>
      <c r="AA315" s="1"/>
      <c r="AB315" s="1"/>
      <c r="AC315" s="90"/>
      <c r="AD315" s="85"/>
      <c r="AE315" s="1"/>
      <c r="AF315" s="1"/>
      <c r="AG315" s="1"/>
      <c r="AH315" s="111"/>
      <c r="AI315"/>
    </row>
    <row r="316" spans="1:35" ht="15" hidden="1" customHeight="1">
      <c r="A316" s="30">
        <f t="shared" ca="1" si="7"/>
        <v>0</v>
      </c>
      <c r="B316" s="72"/>
      <c r="C316" s="63">
        <v>2977</v>
      </c>
      <c r="D316" s="30" t="s">
        <v>143</v>
      </c>
      <c r="E316" s="30">
        <f>'eoy24'!I600</f>
        <v>0</v>
      </c>
      <c r="F316" s="215"/>
      <c r="G316" s="704"/>
      <c r="H316" s="704"/>
      <c r="I316" s="704"/>
      <c r="W316" s="1"/>
      <c r="X316" s="1"/>
      <c r="Y316" s="1"/>
      <c r="Z316" s="1"/>
      <c r="AA316" s="1"/>
      <c r="AB316" s="1"/>
      <c r="AC316" s="90"/>
      <c r="AD316" s="85"/>
      <c r="AE316" s="1"/>
      <c r="AF316" s="1"/>
      <c r="AG316" s="1"/>
      <c r="AH316" s="111"/>
      <c r="AI316"/>
    </row>
    <row r="317" spans="1:35" ht="15" hidden="1" customHeight="1">
      <c r="A317" s="30">
        <f t="shared" ca="1" si="7"/>
        <v>0</v>
      </c>
      <c r="B317" s="72"/>
      <c r="C317" s="63">
        <v>2980</v>
      </c>
      <c r="D317" s="30" t="s">
        <v>248</v>
      </c>
      <c r="E317" s="30">
        <f>'eoy24'!I601</f>
        <v>0</v>
      </c>
      <c r="F317" s="215"/>
      <c r="G317" s="704"/>
      <c r="H317" s="704"/>
      <c r="I317" s="704"/>
      <c r="W317" s="1"/>
      <c r="X317" s="1"/>
      <c r="Y317" s="1"/>
      <c r="Z317" s="1"/>
      <c r="AA317" s="1"/>
      <c r="AB317" s="1"/>
      <c r="AC317" s="90"/>
      <c r="AD317" s="85"/>
      <c r="AE317" s="1"/>
      <c r="AF317" s="1"/>
      <c r="AG317" s="1"/>
      <c r="AH317" s="111"/>
      <c r="AI317"/>
    </row>
    <row r="318" spans="1:35" ht="15" hidden="1" customHeight="1">
      <c r="A318" s="30">
        <f t="shared" ca="1" si="7"/>
        <v>0</v>
      </c>
      <c r="B318" s="72"/>
      <c r="C318" s="63">
        <v>2982</v>
      </c>
      <c r="D318" s="30" t="s">
        <v>145</v>
      </c>
      <c r="E318" s="30">
        <f>'eoy24'!I602</f>
        <v>0</v>
      </c>
      <c r="F318" s="215"/>
      <c r="G318" s="704"/>
      <c r="H318" s="704"/>
      <c r="I318" s="704"/>
      <c r="W318" s="1"/>
      <c r="X318" s="1"/>
      <c r="Y318" s="1"/>
      <c r="Z318" s="1"/>
      <c r="AA318" s="1"/>
      <c r="AB318" s="1"/>
      <c r="AC318" s="90"/>
      <c r="AD318" s="85"/>
      <c r="AE318" s="1"/>
      <c r="AF318" s="1"/>
      <c r="AG318" s="1"/>
      <c r="AH318" s="111"/>
      <c r="AI318"/>
    </row>
    <row r="319" spans="1:35" ht="15" hidden="1" customHeight="1">
      <c r="A319" s="30">
        <f t="shared" ca="1" si="7"/>
        <v>0</v>
      </c>
      <c r="B319" s="72"/>
      <c r="C319" s="63">
        <v>2984</v>
      </c>
      <c r="D319" s="30" t="s">
        <v>146</v>
      </c>
      <c r="E319" s="30">
        <f>'eoy24'!I603</f>
        <v>0</v>
      </c>
      <c r="F319" s="215"/>
      <c r="G319" s="704"/>
      <c r="H319" s="704"/>
      <c r="I319" s="704"/>
      <c r="W319" s="1"/>
      <c r="X319" s="1"/>
      <c r="Y319" s="1"/>
      <c r="Z319" s="1"/>
      <c r="AA319" s="1"/>
      <c r="AB319" s="1"/>
      <c r="AC319" s="90"/>
      <c r="AD319" s="85"/>
      <c r="AE319" s="1"/>
      <c r="AF319" s="1"/>
      <c r="AG319" s="1"/>
      <c r="AH319" s="111"/>
      <c r="AI319"/>
    </row>
    <row r="320" spans="1:35" ht="15" hidden="1" customHeight="1">
      <c r="A320" s="30">
        <f t="shared" ca="1" si="7"/>
        <v>0</v>
      </c>
      <c r="B320" s="72"/>
      <c r="C320" s="63">
        <v>2991</v>
      </c>
      <c r="D320" s="30" t="s">
        <v>147</v>
      </c>
      <c r="E320" s="30">
        <f>'eoy24'!I604</f>
        <v>0</v>
      </c>
      <c r="F320" s="215"/>
      <c r="G320" s="704"/>
      <c r="H320" s="704"/>
      <c r="I320" s="704"/>
      <c r="W320" s="1"/>
      <c r="X320" s="1"/>
      <c r="Y320" s="1"/>
      <c r="Z320" s="1"/>
      <c r="AA320" s="1"/>
      <c r="AB320" s="1"/>
      <c r="AC320" s="90"/>
      <c r="AD320" s="85"/>
      <c r="AE320" s="1"/>
      <c r="AF320" s="1"/>
      <c r="AG320" s="1"/>
      <c r="AH320" s="111"/>
      <c r="AI320"/>
    </row>
    <row r="321" spans="1:35" ht="15" hidden="1" customHeight="1">
      <c r="A321" s="30">
        <f t="shared" ca="1" si="7"/>
        <v>0</v>
      </c>
      <c r="B321" s="72"/>
      <c r="C321" s="63">
        <v>2992</v>
      </c>
      <c r="D321" s="30" t="s">
        <v>148</v>
      </c>
      <c r="E321" s="30">
        <f>'eoy24'!I605</f>
        <v>0</v>
      </c>
      <c r="F321" s="215"/>
      <c r="G321" s="704"/>
      <c r="H321" s="704"/>
      <c r="I321" s="704"/>
      <c r="W321" s="1"/>
      <c r="X321" s="1"/>
      <c r="Y321" s="1"/>
      <c r="Z321" s="1"/>
      <c r="AA321" s="1"/>
      <c r="AB321" s="1"/>
      <c r="AC321" s="90"/>
      <c r="AD321" s="85"/>
      <c r="AE321" s="1"/>
      <c r="AF321" s="1"/>
      <c r="AG321" s="1"/>
      <c r="AH321" s="111"/>
      <c r="AI321"/>
    </row>
    <row r="322" spans="1:35" ht="15" hidden="1" customHeight="1">
      <c r="A322" s="30">
        <f t="shared" ca="1" si="7"/>
        <v>0</v>
      </c>
      <c r="B322" s="72"/>
      <c r="C322" s="63">
        <v>2993</v>
      </c>
      <c r="D322" s="30" t="s">
        <v>150</v>
      </c>
      <c r="E322" s="30">
        <f>'eoy24'!I606</f>
        <v>0</v>
      </c>
      <c r="F322" s="215"/>
      <c r="G322" s="704"/>
      <c r="H322" s="704"/>
      <c r="I322" s="704"/>
      <c r="W322" s="1"/>
      <c r="X322" s="1"/>
      <c r="Y322" s="1"/>
      <c r="Z322" s="1"/>
      <c r="AA322" s="1"/>
      <c r="AB322" s="1"/>
      <c r="AC322" s="90"/>
      <c r="AD322" s="85"/>
      <c r="AE322" s="1"/>
      <c r="AF322" s="1"/>
      <c r="AG322" s="1"/>
      <c r="AH322" s="111"/>
      <c r="AI322"/>
    </row>
    <row r="323" spans="1:35" ht="15" hidden="1" customHeight="1">
      <c r="A323" s="30">
        <f t="shared" ca="1" si="7"/>
        <v>0</v>
      </c>
      <c r="B323" s="72"/>
      <c r="C323" s="63">
        <v>2994</v>
      </c>
      <c r="D323" s="30" t="s">
        <v>151</v>
      </c>
      <c r="E323" s="30">
        <f>'eoy24'!I607</f>
        <v>0</v>
      </c>
      <c r="F323" s="215"/>
      <c r="G323" s="704"/>
      <c r="H323" s="704"/>
      <c r="I323" s="704"/>
      <c r="W323" s="1"/>
      <c r="X323" s="1"/>
      <c r="Y323" s="1"/>
      <c r="Z323" s="1"/>
      <c r="AA323" s="1"/>
      <c r="AB323" s="1"/>
      <c r="AC323" s="90"/>
      <c r="AD323" s="85"/>
      <c r="AE323" s="1"/>
      <c r="AF323" s="1"/>
      <c r="AG323" s="1"/>
      <c r="AH323" s="111"/>
      <c r="AI323"/>
    </row>
    <row r="324" spans="1:35" ht="15" hidden="1" customHeight="1">
      <c r="A324" s="30">
        <f t="shared" ca="1" si="7"/>
        <v>0</v>
      </c>
      <c r="B324" s="72"/>
      <c r="C324" s="63">
        <v>2995</v>
      </c>
      <c r="D324" s="30" t="s">
        <v>197</v>
      </c>
      <c r="E324" s="30">
        <f>'eoy24'!I608</f>
        <v>5000</v>
      </c>
      <c r="F324" s="215"/>
      <c r="G324" s="704"/>
      <c r="H324" s="704"/>
      <c r="I324" s="704"/>
      <c r="W324" s="1"/>
      <c r="X324" s="1"/>
      <c r="Y324" s="1"/>
      <c r="Z324" s="1"/>
      <c r="AA324" s="1"/>
      <c r="AB324" s="1"/>
      <c r="AC324" s="90"/>
      <c r="AD324" s="85"/>
      <c r="AE324" s="1"/>
      <c r="AF324" s="1"/>
      <c r="AG324" s="1"/>
      <c r="AH324" s="111"/>
      <c r="AI324"/>
    </row>
    <row r="325" spans="1:35" ht="15" hidden="1" customHeight="1">
      <c r="A325" s="30">
        <f t="shared" ca="1" si="7"/>
        <v>0</v>
      </c>
      <c r="C325" s="63">
        <v>3012</v>
      </c>
      <c r="D325" s="30" t="s">
        <v>249</v>
      </c>
      <c r="E325" s="30">
        <f>'eoy24'!I609</f>
        <v>0</v>
      </c>
      <c r="G325" s="61"/>
      <c r="W325" s="1"/>
      <c r="X325" s="1"/>
      <c r="Y325" s="1"/>
      <c r="Z325" s="1"/>
      <c r="AA325" s="1"/>
      <c r="AB325" s="1"/>
      <c r="AC325" s="90"/>
      <c r="AD325" s="85"/>
      <c r="AE325" s="1"/>
      <c r="AF325" s="1"/>
      <c r="AG325" s="1"/>
      <c r="AH325" s="111"/>
      <c r="AI325"/>
    </row>
    <row r="326" spans="1:35" ht="15" hidden="1" customHeight="1">
      <c r="A326" s="30">
        <f t="shared" ca="1" si="7"/>
        <v>0</v>
      </c>
      <c r="C326" s="63">
        <v>3014</v>
      </c>
      <c r="D326" s="30" t="s">
        <v>250</v>
      </c>
      <c r="E326" s="30">
        <f>'eoy24'!I610</f>
        <v>0</v>
      </c>
      <c r="G326" s="61"/>
      <c r="W326" s="1"/>
      <c r="X326" s="1"/>
      <c r="Y326" s="1"/>
      <c r="Z326" s="1"/>
      <c r="AA326" s="1"/>
      <c r="AB326" s="1"/>
      <c r="AC326" s="90"/>
      <c r="AD326" s="85"/>
      <c r="AE326" s="1"/>
      <c r="AF326" s="1"/>
      <c r="AG326" s="1"/>
      <c r="AH326" s="111"/>
      <c r="AI326"/>
    </row>
    <row r="327" spans="1:35" ht="15" hidden="1" customHeight="1">
      <c r="A327" s="30">
        <f t="shared" ca="1" si="7"/>
        <v>0</v>
      </c>
      <c r="C327" s="63">
        <v>3022</v>
      </c>
      <c r="D327" s="30" t="s">
        <v>251</v>
      </c>
      <c r="E327" s="30">
        <f>'eoy24'!I611</f>
        <v>0</v>
      </c>
      <c r="G327" s="61"/>
      <c r="W327" s="1"/>
      <c r="X327" s="1"/>
      <c r="Y327" s="1"/>
      <c r="Z327" s="1"/>
      <c r="AA327" s="1"/>
      <c r="AB327" s="1"/>
      <c r="AC327" s="90"/>
      <c r="AD327" s="85"/>
      <c r="AE327" s="1"/>
      <c r="AF327" s="1"/>
      <c r="AG327" s="1"/>
      <c r="AH327" s="111"/>
      <c r="AI327"/>
    </row>
    <row r="328" spans="1:35" ht="15" hidden="1" customHeight="1">
      <c r="A328" s="30">
        <f t="shared" ca="1" si="7"/>
        <v>0</v>
      </c>
      <c r="C328" s="63">
        <v>3024</v>
      </c>
      <c r="D328" s="30" t="s">
        <v>252</v>
      </c>
      <c r="E328" s="30">
        <f>'eoy24'!I612</f>
        <v>0</v>
      </c>
      <c r="G328" s="61"/>
      <c r="W328" s="1"/>
      <c r="X328" s="1"/>
      <c r="Y328" s="1"/>
      <c r="Z328" s="1"/>
      <c r="AA328" s="1"/>
      <c r="AB328" s="1"/>
      <c r="AC328" s="90"/>
      <c r="AD328" s="85"/>
      <c r="AE328" s="1"/>
      <c r="AF328" s="1"/>
      <c r="AG328" s="1"/>
      <c r="AH328" s="111"/>
      <c r="AI328"/>
    </row>
    <row r="329" spans="1:35" ht="15" hidden="1" customHeight="1">
      <c r="A329" s="30">
        <f t="shared" ca="1" si="7"/>
        <v>0</v>
      </c>
      <c r="C329" s="63">
        <v>3026</v>
      </c>
      <c r="D329" s="30" t="s">
        <v>158</v>
      </c>
      <c r="E329" s="30">
        <f>'eoy24'!I613</f>
        <v>0</v>
      </c>
      <c r="G329" s="61"/>
      <c r="W329" s="1"/>
      <c r="X329" s="1"/>
      <c r="Y329" s="1"/>
      <c r="Z329" s="1"/>
      <c r="AA329" s="1"/>
      <c r="AB329" s="1"/>
      <c r="AC329" s="90"/>
      <c r="AD329" s="85"/>
      <c r="AE329" s="1"/>
      <c r="AF329" s="1"/>
      <c r="AG329" s="1"/>
      <c r="AH329" s="111"/>
      <c r="AI329"/>
    </row>
    <row r="330" spans="1:35" ht="15" hidden="1" customHeight="1">
      <c r="A330" s="30">
        <f t="shared" ca="1" si="7"/>
        <v>0</v>
      </c>
      <c r="C330" s="63">
        <v>3028</v>
      </c>
      <c r="D330" s="30" t="s">
        <v>159</v>
      </c>
      <c r="E330" s="30">
        <f>'eoy24'!I614</f>
        <v>0</v>
      </c>
      <c r="G330" s="61"/>
      <c r="W330" s="1"/>
      <c r="X330" s="1"/>
      <c r="Y330" s="1"/>
      <c r="Z330" s="1"/>
      <c r="AA330" s="1"/>
      <c r="AB330" s="1"/>
      <c r="AC330" s="90"/>
      <c r="AD330" s="85"/>
      <c r="AE330" s="1"/>
      <c r="AF330" s="1"/>
      <c r="AG330" s="1"/>
      <c r="AH330" s="111"/>
      <c r="AI330"/>
    </row>
    <row r="331" spans="1:35" ht="15" hidden="1" customHeight="1">
      <c r="A331" s="30">
        <f t="shared" ca="1" si="7"/>
        <v>0</v>
      </c>
      <c r="C331" s="63">
        <v>3030</v>
      </c>
      <c r="D331" s="30" t="s">
        <v>253</v>
      </c>
      <c r="E331" s="30">
        <f>'eoy24'!I615</f>
        <v>0</v>
      </c>
      <c r="G331" s="61"/>
      <c r="W331" s="1"/>
      <c r="X331" s="1"/>
      <c r="Y331" s="1"/>
      <c r="Z331" s="1"/>
      <c r="AA331" s="1"/>
      <c r="AB331" s="1"/>
      <c r="AC331" s="90"/>
      <c r="AD331" s="85"/>
      <c r="AE331" s="1"/>
      <c r="AF331" s="112"/>
      <c r="AG331" s="1"/>
      <c r="AH331" s="112"/>
      <c r="AI331"/>
    </row>
    <row r="332" spans="1:35" ht="15" hidden="1" customHeight="1">
      <c r="A332" s="30">
        <f t="shared" ca="1" si="7"/>
        <v>0</v>
      </c>
      <c r="C332" s="63">
        <v>3042</v>
      </c>
      <c r="D332" s="30" t="s">
        <v>254</v>
      </c>
      <c r="E332" s="30">
        <f>'eoy24'!I616</f>
        <v>0</v>
      </c>
      <c r="G332" s="61"/>
      <c r="W332" s="1"/>
      <c r="X332" s="1"/>
      <c r="Y332" s="1"/>
      <c r="Z332" s="1"/>
      <c r="AA332" s="90"/>
      <c r="AB332" s="1"/>
      <c r="AC332" s="1"/>
      <c r="AD332" s="1"/>
      <c r="AE332" s="1"/>
      <c r="AF332" s="1"/>
      <c r="AG332" s="1"/>
      <c r="AH332" s="111"/>
      <c r="AI332" s="3"/>
    </row>
    <row r="333" spans="1:35" ht="15" hidden="1" customHeight="1">
      <c r="A333" s="30">
        <f t="shared" ref="A333:A347" ca="1" si="8">IF(AND(A$348&gt;0,E333&gt;0),1,0)</f>
        <v>0</v>
      </c>
      <c r="C333" s="63">
        <v>3044</v>
      </c>
      <c r="D333" s="30" t="s">
        <v>255</v>
      </c>
      <c r="E333" s="30">
        <f>'eoy24'!I617</f>
        <v>0</v>
      </c>
      <c r="G333" s="61"/>
      <c r="W333" s="1"/>
      <c r="X333" s="1"/>
      <c r="Y333" s="1"/>
      <c r="Z333" s="1"/>
      <c r="AA333" s="1"/>
      <c r="AB333" s="1"/>
      <c r="AC333" s="1"/>
      <c r="AD333" s="1"/>
      <c r="AE333" s="1"/>
      <c r="AF333" s="1"/>
      <c r="AG333" s="1"/>
      <c r="AH333" s="113"/>
      <c r="AI333" s="3"/>
    </row>
    <row r="334" spans="1:35" ht="15" hidden="1" customHeight="1">
      <c r="A334" s="30">
        <f t="shared" ca="1" si="8"/>
        <v>0</v>
      </c>
      <c r="C334" s="63">
        <v>3046</v>
      </c>
      <c r="D334" s="30" t="s">
        <v>256</v>
      </c>
      <c r="E334" s="30">
        <f>'eoy24'!I618</f>
        <v>0</v>
      </c>
      <c r="G334" s="61"/>
      <c r="W334" s="1"/>
      <c r="X334" s="1"/>
      <c r="Y334" s="1"/>
      <c r="Z334" s="1"/>
      <c r="AA334" s="1"/>
      <c r="AB334" s="1"/>
      <c r="AC334" s="1"/>
      <c r="AD334" s="1"/>
      <c r="AE334" s="1"/>
      <c r="AF334" s="1"/>
      <c r="AG334" s="1"/>
      <c r="AH334" s="113"/>
      <c r="AI334" s="3"/>
    </row>
    <row r="335" spans="1:35" ht="15" hidden="1" customHeight="1">
      <c r="A335" s="30">
        <f t="shared" ca="1" si="8"/>
        <v>0</v>
      </c>
      <c r="C335" s="63">
        <v>3048</v>
      </c>
      <c r="D335" s="30" t="s">
        <v>257</v>
      </c>
      <c r="E335" s="30">
        <f>'eoy24'!I619</f>
        <v>0</v>
      </c>
      <c r="G335" s="61"/>
      <c r="W335" s="1"/>
      <c r="X335" s="1"/>
      <c r="Y335" s="1"/>
      <c r="Z335" s="1"/>
      <c r="AA335" s="1"/>
      <c r="AB335" s="1"/>
      <c r="AC335" s="1"/>
      <c r="AD335" s="1"/>
      <c r="AE335" s="1"/>
      <c r="AF335" s="1"/>
      <c r="AG335" s="1"/>
      <c r="AH335" s="113"/>
      <c r="AI335" s="3"/>
    </row>
    <row r="336" spans="1:35" ht="15" hidden="1" customHeight="1">
      <c r="A336" s="30">
        <f t="shared" ca="1" si="8"/>
        <v>0</v>
      </c>
      <c r="C336" s="63">
        <v>3052</v>
      </c>
      <c r="D336" s="30" t="s">
        <v>165</v>
      </c>
      <c r="E336" s="30">
        <f>'eoy24'!I620</f>
        <v>0</v>
      </c>
      <c r="G336" s="61"/>
      <c r="W336" s="1"/>
      <c r="X336" s="1"/>
      <c r="Y336" s="1"/>
      <c r="Z336" s="1"/>
      <c r="AA336" s="1"/>
      <c r="AB336" s="1"/>
      <c r="AC336" s="1"/>
      <c r="AD336" s="1"/>
      <c r="AE336" s="1"/>
      <c r="AF336" s="1"/>
      <c r="AG336" s="1"/>
      <c r="AH336" s="113"/>
      <c r="AI336" s="3"/>
    </row>
    <row r="337" spans="1:35" ht="15" hidden="1" customHeight="1">
      <c r="A337" s="30">
        <f t="shared" ca="1" si="8"/>
        <v>0</v>
      </c>
      <c r="C337" s="63">
        <v>3054</v>
      </c>
      <c r="D337" s="30" t="s">
        <v>166</v>
      </c>
      <c r="E337" s="30">
        <f>'eoy24'!I621</f>
        <v>0</v>
      </c>
      <c r="G337" s="61"/>
      <c r="W337" s="1"/>
      <c r="X337" s="1"/>
      <c r="Y337" s="1"/>
      <c r="Z337" s="1"/>
      <c r="AA337" s="1"/>
      <c r="AB337" s="1"/>
      <c r="AC337" s="1"/>
      <c r="AD337" s="1"/>
      <c r="AE337" s="1"/>
      <c r="AF337" s="1"/>
      <c r="AG337" s="1"/>
      <c r="AH337" s="113"/>
      <c r="AI337" s="3"/>
    </row>
    <row r="338" spans="1:35" ht="15" hidden="1" customHeight="1">
      <c r="A338" s="30">
        <f t="shared" ca="1" si="8"/>
        <v>0</v>
      </c>
      <c r="C338" s="63">
        <v>3056</v>
      </c>
      <c r="D338" s="30" t="s">
        <v>167</v>
      </c>
      <c r="E338" s="30">
        <f>'eoy24'!I622</f>
        <v>0</v>
      </c>
      <c r="G338" s="61"/>
      <c r="W338" s="1"/>
      <c r="X338" s="1"/>
      <c r="Y338" s="1"/>
      <c r="Z338" s="1"/>
      <c r="AA338" s="1"/>
      <c r="AB338" s="1"/>
      <c r="AC338" s="1"/>
      <c r="AD338" s="1"/>
      <c r="AE338" s="1"/>
      <c r="AF338" s="1"/>
      <c r="AG338" s="1"/>
      <c r="AH338" s="113"/>
      <c r="AI338" s="3"/>
    </row>
    <row r="339" spans="1:35" ht="15" hidden="1" customHeight="1">
      <c r="A339" s="30">
        <f t="shared" ca="1" si="8"/>
        <v>0</v>
      </c>
      <c r="C339" s="63">
        <v>3058</v>
      </c>
      <c r="D339" s="30" t="s">
        <v>168</v>
      </c>
      <c r="E339" s="30">
        <f>'eoy24'!I623</f>
        <v>0</v>
      </c>
      <c r="G339" s="61"/>
      <c r="W339" s="1"/>
      <c r="X339" s="1"/>
      <c r="Y339" s="1"/>
      <c r="Z339" s="1"/>
      <c r="AA339" s="1"/>
      <c r="AB339" s="1"/>
      <c r="AC339" s="1"/>
      <c r="AD339" s="1"/>
      <c r="AE339" s="1"/>
      <c r="AF339" s="1"/>
      <c r="AG339" s="1"/>
      <c r="AH339" s="113"/>
      <c r="AI339" s="3"/>
    </row>
    <row r="340" spans="1:35" ht="15" hidden="1" customHeight="1">
      <c r="A340" s="30">
        <f t="shared" ca="1" si="8"/>
        <v>0</v>
      </c>
      <c r="C340" s="63">
        <v>3062</v>
      </c>
      <c r="D340" s="30" t="s">
        <v>170</v>
      </c>
      <c r="E340" s="30">
        <f>'eoy24'!I624</f>
        <v>0</v>
      </c>
      <c r="G340" s="61"/>
      <c r="W340" s="1"/>
      <c r="X340" s="1"/>
      <c r="Y340" s="1"/>
      <c r="Z340" s="1"/>
      <c r="AA340" s="1"/>
      <c r="AB340" s="1"/>
      <c r="AC340" s="1"/>
      <c r="AD340" s="1"/>
      <c r="AE340" s="1"/>
      <c r="AF340" s="1"/>
      <c r="AG340" s="1"/>
      <c r="AH340" s="113"/>
      <c r="AI340" s="3"/>
    </row>
    <row r="341" spans="1:35" ht="15" hidden="1" customHeight="1">
      <c r="A341" s="30">
        <f t="shared" ca="1" si="8"/>
        <v>0</v>
      </c>
      <c r="C341" s="63">
        <v>3064</v>
      </c>
      <c r="D341" s="30" t="s">
        <v>171</v>
      </c>
      <c r="E341" s="30">
        <f>'eoy24'!I625</f>
        <v>0</v>
      </c>
      <c r="G341" s="61"/>
      <c r="W341" s="1"/>
      <c r="X341" s="1"/>
      <c r="Y341" s="1"/>
      <c r="Z341" s="1"/>
      <c r="AA341" s="1"/>
      <c r="AB341" s="1"/>
      <c r="AC341" s="1"/>
      <c r="AD341" s="1"/>
      <c r="AE341" s="1"/>
      <c r="AF341" s="1"/>
      <c r="AG341" s="1"/>
      <c r="AH341" s="113"/>
      <c r="AI341" s="3"/>
    </row>
    <row r="342" spans="1:35" ht="15" hidden="1" customHeight="1">
      <c r="A342" s="30">
        <f t="shared" ca="1" si="8"/>
        <v>0</v>
      </c>
      <c r="C342" s="63">
        <v>3066</v>
      </c>
      <c r="D342" s="30" t="s">
        <v>172</v>
      </c>
      <c r="E342" s="30">
        <f>'eoy24'!I626</f>
        <v>0</v>
      </c>
      <c r="G342" s="61"/>
      <c r="W342" s="1"/>
      <c r="X342" s="1"/>
      <c r="Y342" s="1"/>
      <c r="Z342" s="1"/>
      <c r="AA342" s="1"/>
      <c r="AB342" s="1"/>
      <c r="AC342" s="1"/>
      <c r="AD342" s="1"/>
      <c r="AE342" s="1"/>
      <c r="AF342" s="1"/>
      <c r="AG342" s="1"/>
      <c r="AH342" s="113"/>
      <c r="AI342" s="3"/>
    </row>
    <row r="343" spans="1:35" ht="15" hidden="1" customHeight="1">
      <c r="A343" s="30">
        <f t="shared" ca="1" si="8"/>
        <v>0</v>
      </c>
      <c r="C343" s="63">
        <v>3072</v>
      </c>
      <c r="D343" s="30" t="s">
        <v>174</v>
      </c>
      <c r="E343" s="30">
        <f>'eoy24'!I627</f>
        <v>0</v>
      </c>
      <c r="G343" s="61"/>
      <c r="W343" s="1"/>
      <c r="X343" s="1"/>
      <c r="Y343" s="1"/>
      <c r="Z343" s="1"/>
      <c r="AA343" s="1"/>
      <c r="AB343" s="1"/>
      <c r="AC343" s="1"/>
      <c r="AD343" s="1"/>
      <c r="AE343" s="1"/>
      <c r="AF343" s="1"/>
      <c r="AG343" s="1"/>
      <c r="AH343" s="113"/>
      <c r="AI343" s="3"/>
    </row>
    <row r="344" spans="1:35" ht="15" hidden="1" customHeight="1">
      <c r="A344" s="30">
        <f t="shared" ca="1" si="8"/>
        <v>0</v>
      </c>
      <c r="C344" s="63">
        <v>3075</v>
      </c>
      <c r="D344" s="30" t="s">
        <v>177</v>
      </c>
      <c r="E344" s="30">
        <f>'eoy24'!I628</f>
        <v>0</v>
      </c>
      <c r="G344" s="61"/>
      <c r="W344" s="1"/>
      <c r="X344" s="1"/>
      <c r="Y344" s="1"/>
      <c r="Z344" s="1"/>
      <c r="AA344" s="1"/>
      <c r="AB344" s="1"/>
      <c r="AC344" s="1"/>
      <c r="AD344" s="1"/>
      <c r="AE344" s="1"/>
      <c r="AF344" s="1"/>
      <c r="AG344" s="1"/>
      <c r="AH344" s="113"/>
      <c r="AI344" s="3"/>
    </row>
    <row r="345" spans="1:35" ht="15" hidden="1" customHeight="1">
      <c r="A345" s="30">
        <f t="shared" ca="1" si="8"/>
        <v>0</v>
      </c>
      <c r="C345" s="63">
        <v>3076</v>
      </c>
      <c r="D345" s="30" t="s">
        <v>179</v>
      </c>
      <c r="E345" s="30">
        <f>'eoy24'!I629</f>
        <v>0</v>
      </c>
      <c r="G345" s="61"/>
      <c r="W345" s="1"/>
      <c r="X345" s="1"/>
      <c r="Y345" s="1"/>
      <c r="Z345" s="1"/>
      <c r="AA345" s="1"/>
      <c r="AB345" s="1"/>
      <c r="AC345" s="1"/>
      <c r="AD345" s="1"/>
      <c r="AE345" s="1"/>
      <c r="AF345" s="1"/>
      <c r="AG345" s="1"/>
      <c r="AH345" s="113"/>
      <c r="AI345" s="3"/>
    </row>
    <row r="346" spans="1:35" ht="15" hidden="1" customHeight="1">
      <c r="A346" s="30">
        <f t="shared" ca="1" si="8"/>
        <v>0</v>
      </c>
      <c r="C346" s="63">
        <v>3077</v>
      </c>
      <c r="D346" s="30" t="s">
        <v>180</v>
      </c>
      <c r="E346" s="30">
        <f>'eoy24'!I630</f>
        <v>367272</v>
      </c>
      <c r="W346" s="1"/>
      <c r="X346" s="1"/>
      <c r="Y346" s="1"/>
      <c r="Z346" s="1"/>
      <c r="AA346" s="1"/>
      <c r="AB346" s="1"/>
      <c r="AC346" s="1"/>
      <c r="AD346" s="1"/>
      <c r="AE346" s="1"/>
      <c r="AF346" s="1"/>
      <c r="AG346" s="1"/>
      <c r="AH346" s="113"/>
      <c r="AI346" s="3"/>
    </row>
    <row r="347" spans="1:35" ht="15" hidden="1" customHeight="1">
      <c r="A347" s="30">
        <f t="shared" ca="1" si="8"/>
        <v>0</v>
      </c>
      <c r="C347" s="63">
        <v>3078</v>
      </c>
      <c r="D347" s="30" t="s">
        <v>181</v>
      </c>
      <c r="E347" s="30">
        <f>'eoy24'!I631</f>
        <v>99024</v>
      </c>
      <c r="W347" s="1"/>
      <c r="X347" s="1"/>
      <c r="Y347" s="1"/>
      <c r="Z347" s="1"/>
      <c r="AA347" s="1"/>
      <c r="AB347" s="1"/>
      <c r="AC347" s="1"/>
      <c r="AD347" s="1"/>
      <c r="AE347" s="1"/>
      <c r="AF347" s="1"/>
      <c r="AG347" s="1"/>
      <c r="AH347" s="113"/>
      <c r="AI347" s="3"/>
    </row>
    <row r="348" spans="1:35" ht="15" hidden="1" customHeight="1">
      <c r="A348" s="120">
        <f ca="1">IF(OR(AND(E348&gt;0,I348=0),AND(E348=0,I348&gt;0)),1,0)</f>
        <v>0</v>
      </c>
      <c r="B348" s="120"/>
      <c r="C348" s="119" t="s">
        <v>899</v>
      </c>
      <c r="D348" s="120" t="s">
        <v>900</v>
      </c>
      <c r="E348" s="120">
        <f ca="1">'eoy24'!I632</f>
        <v>504147</v>
      </c>
      <c r="F348" s="120"/>
      <c r="G348" s="527">
        <v>510</v>
      </c>
      <c r="H348" s="527" t="s">
        <v>901</v>
      </c>
      <c r="I348" s="120">
        <f>'eoy24'!J42</f>
        <v>30200</v>
      </c>
      <c r="W348" s="1"/>
      <c r="X348" s="1"/>
      <c r="Y348" s="1"/>
      <c r="Z348" s="1"/>
      <c r="AA348" s="1"/>
      <c r="AB348" s="1"/>
      <c r="AC348" s="1"/>
      <c r="AD348" s="1"/>
      <c r="AE348" s="1"/>
      <c r="AF348" s="1"/>
      <c r="AG348" s="1"/>
      <c r="AH348" s="113"/>
      <c r="AI348" s="3"/>
    </row>
    <row r="349" spans="1:35" ht="15" hidden="1" customHeight="1">
      <c r="A349" s="30">
        <f ca="1">IF(A$434=1,1,0)</f>
        <v>0</v>
      </c>
      <c r="C349" s="702" t="s">
        <v>912</v>
      </c>
      <c r="D349" s="216"/>
      <c r="E349" s="527"/>
      <c r="F349" s="527"/>
      <c r="G349" s="216" t="s">
        <v>913</v>
      </c>
      <c r="H349" s="527"/>
      <c r="I349" s="527"/>
      <c r="W349" s="1"/>
      <c r="X349" s="1"/>
      <c r="Y349" s="1"/>
      <c r="Z349" s="1"/>
      <c r="AA349" s="1"/>
      <c r="AB349" s="1"/>
      <c r="AC349" s="1"/>
      <c r="AD349" s="1"/>
      <c r="AE349" s="1"/>
      <c r="AF349" s="1"/>
      <c r="AG349" s="1"/>
      <c r="AH349" s="113"/>
      <c r="AI349" s="3"/>
    </row>
    <row r="350" spans="1:35" ht="15" hidden="1" customHeight="1">
      <c r="A350" s="30">
        <f ca="1">IF(A$434=1,1,0)</f>
        <v>0</v>
      </c>
      <c r="B350" s="72"/>
      <c r="C350" s="122" t="s">
        <v>914</v>
      </c>
      <c r="D350" s="704"/>
      <c r="E350" s="704"/>
      <c r="F350" s="215"/>
      <c r="G350" s="706" t="s">
        <v>915</v>
      </c>
      <c r="H350" s="704"/>
      <c r="I350" s="704"/>
      <c r="W350" s="1"/>
      <c r="X350" s="1"/>
      <c r="Y350" s="1"/>
      <c r="Z350" s="1"/>
      <c r="AA350" s="1"/>
      <c r="AB350" s="1"/>
      <c r="AC350" s="1"/>
      <c r="AD350" s="1"/>
      <c r="AE350" s="1"/>
      <c r="AF350" s="1"/>
      <c r="AG350" s="1"/>
      <c r="AH350" s="113"/>
      <c r="AI350" s="3"/>
    </row>
    <row r="351" spans="1:35" ht="15" hidden="1" customHeight="1">
      <c r="A351" s="30">
        <f ca="1">IF(A$434=1,1,0)</f>
        <v>0</v>
      </c>
      <c r="B351" s="72"/>
      <c r="C351" s="703" t="s">
        <v>38</v>
      </c>
      <c r="D351" s="704" t="s">
        <v>895</v>
      </c>
      <c r="E351" s="704" t="s">
        <v>864</v>
      </c>
      <c r="F351" s="215"/>
      <c r="G351" s="704" t="s">
        <v>38</v>
      </c>
      <c r="H351" s="704" t="s">
        <v>863</v>
      </c>
      <c r="I351" s="704" t="s">
        <v>864</v>
      </c>
      <c r="W351" s="1"/>
      <c r="X351" s="1"/>
      <c r="Y351" s="1"/>
      <c r="Z351" s="1"/>
      <c r="AA351" s="1"/>
      <c r="AB351" s="1"/>
      <c r="AC351" s="1"/>
      <c r="AD351" s="1"/>
      <c r="AE351" s="1"/>
      <c r="AF351" s="1"/>
      <c r="AG351" s="1"/>
      <c r="AH351" s="113"/>
      <c r="AI351" s="3"/>
    </row>
    <row r="352" spans="1:35" ht="15" hidden="1" customHeight="1">
      <c r="A352" s="30">
        <f ca="1">IF(AND(A$434&gt;0,E352&gt;0),1,0)</f>
        <v>0</v>
      </c>
      <c r="B352" s="72"/>
      <c r="C352" s="63">
        <v>2801</v>
      </c>
      <c r="D352" s="30" t="s">
        <v>83</v>
      </c>
      <c r="E352" s="30">
        <f>'eoy24'!J547</f>
        <v>0</v>
      </c>
      <c r="F352" s="215"/>
      <c r="G352" s="704"/>
      <c r="H352" s="704"/>
      <c r="I352" s="704"/>
      <c r="W352" s="1"/>
      <c r="X352" s="1"/>
      <c r="Y352" s="1"/>
      <c r="Z352" s="1"/>
      <c r="AA352" s="1"/>
      <c r="AB352" s="1"/>
      <c r="AC352" s="1"/>
      <c r="AD352" s="1"/>
      <c r="AE352" s="1"/>
      <c r="AF352" s="1"/>
      <c r="AG352" s="1"/>
      <c r="AH352" s="113"/>
      <c r="AI352" s="3"/>
    </row>
    <row r="353" spans="1:35" ht="15" hidden="1" customHeight="1">
      <c r="A353" s="30">
        <f t="shared" ref="A353:A418" ca="1" si="9">IF(AND(A$434&gt;0,E353&gt;0),1,0)</f>
        <v>0</v>
      </c>
      <c r="B353" s="72"/>
      <c r="C353" s="63">
        <v>2802</v>
      </c>
      <c r="D353" s="30" t="s">
        <v>90</v>
      </c>
      <c r="E353" s="30">
        <f>'eoy24'!J548</f>
        <v>0</v>
      </c>
      <c r="F353" s="215"/>
      <c r="G353" s="704"/>
      <c r="H353" s="704"/>
      <c r="I353" s="704"/>
      <c r="W353" s="1"/>
      <c r="X353" s="1"/>
      <c r="Y353" s="1"/>
      <c r="Z353" s="1"/>
      <c r="AA353" s="1"/>
      <c r="AB353" s="1"/>
      <c r="AC353" s="1"/>
      <c r="AD353" s="1"/>
      <c r="AE353" s="1"/>
      <c r="AF353" s="1"/>
      <c r="AG353" s="1"/>
      <c r="AH353" s="113"/>
      <c r="AI353" s="3"/>
    </row>
    <row r="354" spans="1:35" ht="15" hidden="1" customHeight="1">
      <c r="A354" s="30">
        <f t="shared" ca="1" si="9"/>
        <v>0</v>
      </c>
      <c r="B354" s="72"/>
      <c r="C354" s="63">
        <v>2803</v>
      </c>
      <c r="D354" s="30" t="s">
        <v>92</v>
      </c>
      <c r="E354" s="30">
        <f>'eoy24'!J549</f>
        <v>0</v>
      </c>
      <c r="F354" s="215"/>
      <c r="G354" s="704"/>
      <c r="H354" s="704"/>
      <c r="I354" s="704"/>
      <c r="W354" s="1"/>
      <c r="X354" s="1"/>
      <c r="Y354" s="1"/>
      <c r="Z354" s="1"/>
      <c r="AA354" s="1"/>
      <c r="AB354" s="1"/>
      <c r="AC354" s="1"/>
      <c r="AD354" s="1"/>
      <c r="AE354" s="1"/>
      <c r="AF354" s="1"/>
      <c r="AG354" s="1"/>
      <c r="AH354" s="113"/>
      <c r="AI354" s="3"/>
    </row>
    <row r="355" spans="1:35" ht="15" hidden="1" customHeight="1">
      <c r="A355" s="30">
        <f t="shared" ca="1" si="9"/>
        <v>0</v>
      </c>
      <c r="B355" s="72"/>
      <c r="C355" s="63">
        <v>2804</v>
      </c>
      <c r="D355" s="30" t="s">
        <v>93</v>
      </c>
      <c r="E355" s="30">
        <f>'eoy24'!J550</f>
        <v>0</v>
      </c>
      <c r="F355" s="215"/>
      <c r="G355" s="704"/>
      <c r="H355" s="704"/>
      <c r="I355" s="704"/>
      <c r="W355" s="1"/>
      <c r="X355" s="1"/>
      <c r="Y355" s="1"/>
      <c r="Z355" s="1"/>
      <c r="AA355" s="1"/>
      <c r="AB355" s="1"/>
      <c r="AC355" s="1"/>
      <c r="AD355" s="1"/>
      <c r="AE355" s="1"/>
      <c r="AF355" s="1"/>
      <c r="AG355" s="1"/>
      <c r="AH355" s="113"/>
      <c r="AI355" s="3"/>
    </row>
    <row r="356" spans="1:35" ht="15" hidden="1" customHeight="1">
      <c r="A356" s="30">
        <f t="shared" ca="1" si="9"/>
        <v>0</v>
      </c>
      <c r="B356" s="72"/>
      <c r="C356" s="63">
        <v>2805</v>
      </c>
      <c r="D356" s="30" t="s">
        <v>94</v>
      </c>
      <c r="E356" s="30">
        <f>'eoy24'!J551</f>
        <v>0</v>
      </c>
      <c r="F356" s="215"/>
      <c r="G356" s="704"/>
      <c r="H356" s="704"/>
      <c r="I356" s="704"/>
      <c r="W356" s="1"/>
      <c r="X356" s="1"/>
      <c r="Y356" s="1"/>
      <c r="Z356" s="1"/>
      <c r="AA356" s="1"/>
      <c r="AB356" s="1"/>
      <c r="AC356" s="1"/>
      <c r="AD356" s="1"/>
      <c r="AE356" s="1"/>
      <c r="AF356" s="1"/>
      <c r="AG356" s="1"/>
      <c r="AH356" s="113"/>
      <c r="AI356" s="3"/>
    </row>
    <row r="357" spans="1:35" ht="15" hidden="1" customHeight="1">
      <c r="A357" s="30">
        <f t="shared" ca="1" si="9"/>
        <v>0</v>
      </c>
      <c r="B357" s="72"/>
      <c r="C357" s="63">
        <v>2806</v>
      </c>
      <c r="D357" s="30" t="s">
        <v>95</v>
      </c>
      <c r="E357" s="30">
        <f>'eoy24'!J552</f>
        <v>0</v>
      </c>
      <c r="F357" s="215"/>
      <c r="G357" s="704"/>
      <c r="H357" s="704"/>
      <c r="I357" s="704"/>
      <c r="W357" s="1"/>
      <c r="X357" s="1"/>
      <c r="Y357" s="1"/>
      <c r="Z357" s="1"/>
      <c r="AA357" s="1"/>
      <c r="AB357" s="1"/>
      <c r="AC357" s="1"/>
      <c r="AD357" s="1"/>
      <c r="AE357" s="1"/>
      <c r="AF357" s="1"/>
      <c r="AG357" s="1"/>
      <c r="AH357" s="113"/>
      <c r="AI357" s="3"/>
    </row>
    <row r="358" spans="1:35" ht="15" hidden="1" customHeight="1">
      <c r="A358" s="30">
        <f t="shared" ca="1" si="9"/>
        <v>0</v>
      </c>
      <c r="B358" s="72"/>
      <c r="C358" s="63">
        <v>2807</v>
      </c>
      <c r="D358" s="30" t="s">
        <v>236</v>
      </c>
      <c r="E358" s="30">
        <f>'eoy24'!J553</f>
        <v>0</v>
      </c>
      <c r="F358" s="215"/>
      <c r="G358" s="704"/>
      <c r="H358" s="704"/>
      <c r="I358" s="704"/>
      <c r="W358" s="1"/>
      <c r="X358" s="1"/>
      <c r="Y358" s="1"/>
      <c r="Z358" s="1"/>
      <c r="AA358" s="1"/>
      <c r="AB358" s="1"/>
      <c r="AC358" s="1"/>
      <c r="AD358" s="1"/>
      <c r="AE358" s="1"/>
      <c r="AF358" s="1"/>
      <c r="AG358" s="1"/>
      <c r="AH358" s="113"/>
      <c r="AI358" s="3"/>
    </row>
    <row r="359" spans="1:35" ht="15" hidden="1" customHeight="1">
      <c r="A359" s="30">
        <f t="shared" ca="1" si="9"/>
        <v>0</v>
      </c>
      <c r="B359" s="72"/>
      <c r="C359" s="63">
        <v>2808</v>
      </c>
      <c r="D359" s="30" t="s">
        <v>97</v>
      </c>
      <c r="E359" s="30">
        <f>'eoy24'!J554</f>
        <v>0</v>
      </c>
      <c r="F359" s="215"/>
      <c r="G359" s="704"/>
      <c r="H359" s="704"/>
      <c r="I359" s="704"/>
      <c r="W359" s="1"/>
      <c r="X359" s="1"/>
      <c r="Y359" s="1"/>
      <c r="Z359" s="1"/>
      <c r="AA359" s="1"/>
      <c r="AB359" s="1"/>
      <c r="AC359" s="1"/>
      <c r="AD359" s="1"/>
      <c r="AE359" s="1"/>
      <c r="AF359" s="1"/>
      <c r="AG359" s="1"/>
      <c r="AH359" s="113"/>
      <c r="AI359" s="3"/>
    </row>
    <row r="360" spans="1:35" ht="15" hidden="1" customHeight="1">
      <c r="A360" s="30">
        <f t="shared" ca="1" si="9"/>
        <v>0</v>
      </c>
      <c r="B360" s="72"/>
      <c r="C360" s="63">
        <v>2809</v>
      </c>
      <c r="D360" s="30" t="s">
        <v>910</v>
      </c>
      <c r="E360" s="30">
        <f>'eoy24'!J555</f>
        <v>0</v>
      </c>
      <c r="F360" s="215"/>
      <c r="G360" s="704"/>
      <c r="H360" s="704"/>
      <c r="I360" s="704"/>
      <c r="W360" s="1"/>
      <c r="X360" s="1"/>
      <c r="Y360" s="1"/>
      <c r="Z360" s="1"/>
      <c r="AA360" s="1"/>
      <c r="AB360" s="1"/>
      <c r="AC360" s="1"/>
      <c r="AD360" s="1"/>
      <c r="AE360" s="1"/>
      <c r="AF360" s="1"/>
      <c r="AG360" s="1"/>
      <c r="AH360" s="113"/>
      <c r="AI360" s="3"/>
    </row>
    <row r="361" spans="1:35" ht="15" hidden="1" customHeight="1">
      <c r="A361" s="30">
        <f t="shared" ca="1" si="9"/>
        <v>0</v>
      </c>
      <c r="B361" s="72"/>
      <c r="C361" s="63">
        <v>2810</v>
      </c>
      <c r="D361" s="30" t="s">
        <v>238</v>
      </c>
      <c r="E361" s="30">
        <f ca="1">'eoy24'!J557</f>
        <v>0</v>
      </c>
      <c r="F361" s="215"/>
      <c r="G361" s="704"/>
      <c r="H361" s="704"/>
      <c r="I361" s="704"/>
      <c r="W361" s="1"/>
      <c r="X361" s="1"/>
      <c r="Y361" s="1"/>
      <c r="Z361" s="1"/>
      <c r="AA361" s="1"/>
      <c r="AB361" s="1"/>
      <c r="AC361" s="1"/>
      <c r="AD361" s="1"/>
      <c r="AE361" s="1"/>
      <c r="AF361" s="1"/>
      <c r="AG361" s="1"/>
      <c r="AH361" s="113"/>
      <c r="AI361" s="3"/>
    </row>
    <row r="362" spans="1:35" ht="15" hidden="1" customHeight="1">
      <c r="A362" s="30">
        <f t="shared" ca="1" si="9"/>
        <v>0</v>
      </c>
      <c r="B362" s="72"/>
      <c r="C362" s="63">
        <v>2811</v>
      </c>
      <c r="D362" s="30" t="s">
        <v>239</v>
      </c>
      <c r="E362" s="30">
        <f ca="1">'eoy24'!J558</f>
        <v>0</v>
      </c>
      <c r="F362" s="215"/>
      <c r="G362" s="704"/>
      <c r="H362" s="704"/>
      <c r="I362" s="704"/>
      <c r="W362" s="1"/>
      <c r="X362" s="1"/>
      <c r="Y362" s="1"/>
      <c r="Z362" s="1"/>
      <c r="AA362" s="1"/>
      <c r="AB362" s="1"/>
      <c r="AC362" s="1"/>
      <c r="AD362" s="1"/>
      <c r="AE362" s="1"/>
      <c r="AF362" s="1"/>
      <c r="AG362" s="1"/>
      <c r="AH362" s="113"/>
      <c r="AI362" s="3"/>
    </row>
    <row r="363" spans="1:35" ht="15" hidden="1" customHeight="1">
      <c r="A363" s="30">
        <f t="shared" ca="1" si="9"/>
        <v>0</v>
      </c>
      <c r="B363" s="72"/>
      <c r="C363" s="63">
        <v>2812</v>
      </c>
      <c r="D363" s="30" t="s">
        <v>102</v>
      </c>
      <c r="E363" s="30">
        <f ca="1">'eoy24'!J559</f>
        <v>0</v>
      </c>
      <c r="F363" s="215"/>
      <c r="G363" s="704"/>
      <c r="H363" s="704"/>
      <c r="I363" s="704"/>
      <c r="W363" s="1"/>
      <c r="X363" s="1"/>
      <c r="Y363" s="1"/>
      <c r="Z363" s="1"/>
      <c r="AA363" s="1"/>
      <c r="AB363" s="1"/>
      <c r="AC363" s="1"/>
      <c r="AD363" s="1"/>
      <c r="AE363" s="1"/>
      <c r="AF363" s="1"/>
      <c r="AG363" s="1"/>
      <c r="AH363" s="113"/>
      <c r="AI363" s="3"/>
    </row>
    <row r="364" spans="1:35" ht="15" hidden="1" customHeight="1">
      <c r="A364" s="30">
        <f t="shared" ca="1" si="9"/>
        <v>0</v>
      </c>
      <c r="B364" s="72"/>
      <c r="C364" s="63">
        <v>2814</v>
      </c>
      <c r="D364" s="30" t="s">
        <v>103</v>
      </c>
      <c r="E364" s="30">
        <f ca="1">'eoy24'!J560</f>
        <v>0</v>
      </c>
      <c r="F364" s="215"/>
      <c r="G364" s="704"/>
      <c r="H364" s="704"/>
      <c r="I364" s="704"/>
      <c r="W364" s="1"/>
      <c r="X364" s="1"/>
      <c r="Y364" s="1"/>
      <c r="Z364" s="1"/>
      <c r="AA364" s="1"/>
      <c r="AB364" s="1"/>
      <c r="AC364" s="1"/>
      <c r="AD364" s="1"/>
      <c r="AE364" s="1"/>
      <c r="AF364" s="1"/>
      <c r="AG364" s="1"/>
      <c r="AH364" s="113"/>
      <c r="AI364" s="3"/>
    </row>
    <row r="365" spans="1:35" ht="15" hidden="1" customHeight="1">
      <c r="A365" s="30">
        <f t="shared" ca="1" si="9"/>
        <v>0</v>
      </c>
      <c r="B365" s="72"/>
      <c r="C365" s="63">
        <v>2815</v>
      </c>
      <c r="D365" s="30" t="s">
        <v>911</v>
      </c>
      <c r="E365" s="30">
        <f ca="1">'eoy24'!J561</f>
        <v>0</v>
      </c>
      <c r="F365" s="215"/>
      <c r="G365" s="704"/>
      <c r="H365" s="704"/>
      <c r="I365" s="704"/>
      <c r="W365" s="1"/>
      <c r="X365" s="1"/>
      <c r="Y365" s="1"/>
      <c r="Z365" s="1"/>
      <c r="AA365" s="1"/>
      <c r="AB365" s="1"/>
      <c r="AC365" s="1"/>
      <c r="AD365" s="1"/>
      <c r="AE365" s="1"/>
      <c r="AF365" s="1"/>
      <c r="AG365" s="1"/>
      <c r="AH365" s="113"/>
      <c r="AI365" s="3"/>
    </row>
    <row r="366" spans="1:35" ht="15" hidden="1" customHeight="1">
      <c r="A366" s="30">
        <f t="shared" ca="1" si="9"/>
        <v>0</v>
      </c>
      <c r="B366" s="72"/>
      <c r="C366" s="63">
        <v>2816</v>
      </c>
      <c r="D366" s="30" t="s">
        <v>105</v>
      </c>
      <c r="E366" s="30">
        <f ca="1">'eoy24'!J562</f>
        <v>0</v>
      </c>
      <c r="F366" s="215"/>
      <c r="G366" s="704"/>
      <c r="H366" s="704"/>
      <c r="I366" s="704"/>
      <c r="W366" s="1"/>
      <c r="X366" s="1"/>
      <c r="Y366" s="1"/>
      <c r="Z366" s="1"/>
      <c r="AA366" s="1"/>
      <c r="AB366" s="1"/>
      <c r="AC366" s="1"/>
      <c r="AD366" s="1"/>
      <c r="AE366" s="1"/>
      <c r="AF366" s="1"/>
      <c r="AG366" s="1"/>
      <c r="AH366" s="113"/>
      <c r="AI366" s="3"/>
    </row>
    <row r="367" spans="1:35" ht="15" hidden="1" customHeight="1">
      <c r="A367" s="30">
        <f t="shared" ca="1" si="9"/>
        <v>0</v>
      </c>
      <c r="B367" s="72"/>
      <c r="C367" s="63">
        <v>2817</v>
      </c>
      <c r="D367" s="30" t="s">
        <v>241</v>
      </c>
      <c r="E367" s="30">
        <f ca="1">'eoy24'!J563</f>
        <v>0</v>
      </c>
      <c r="F367" s="215"/>
      <c r="G367" s="704"/>
      <c r="H367" s="704"/>
      <c r="I367" s="704"/>
      <c r="W367" s="1"/>
      <c r="X367" s="1"/>
      <c r="Y367" s="1"/>
      <c r="Z367" s="1"/>
      <c r="AA367" s="1"/>
      <c r="AB367" s="1"/>
      <c r="AC367" s="1"/>
      <c r="AD367" s="1"/>
      <c r="AE367" s="1"/>
      <c r="AF367" s="1"/>
      <c r="AG367" s="1"/>
      <c r="AH367" s="113"/>
      <c r="AI367" s="3"/>
    </row>
    <row r="368" spans="1:35" ht="15" hidden="1" customHeight="1">
      <c r="A368" s="30">
        <f t="shared" ca="1" si="9"/>
        <v>0</v>
      </c>
      <c r="B368" s="72"/>
      <c r="C368" s="63">
        <v>2818</v>
      </c>
      <c r="D368" s="30" t="s">
        <v>108</v>
      </c>
      <c r="E368" s="30">
        <f ca="1">'eoy24'!J564</f>
        <v>0</v>
      </c>
      <c r="F368" s="215"/>
      <c r="G368" s="704"/>
      <c r="H368" s="704"/>
      <c r="I368" s="704"/>
      <c r="W368" s="1"/>
      <c r="X368" s="1"/>
      <c r="Y368" s="1"/>
      <c r="Z368" s="1"/>
      <c r="AA368" s="1"/>
      <c r="AB368" s="1"/>
      <c r="AC368" s="1"/>
      <c r="AD368" s="1"/>
      <c r="AE368" s="1"/>
      <c r="AF368" s="1"/>
      <c r="AG368" s="1"/>
      <c r="AH368" s="113"/>
      <c r="AI368" s="3"/>
    </row>
    <row r="369" spans="1:35" ht="15" hidden="1" customHeight="1">
      <c r="A369" s="30">
        <f t="shared" ca="1" si="9"/>
        <v>0</v>
      </c>
      <c r="B369" s="72"/>
      <c r="C369" s="63">
        <v>2819</v>
      </c>
      <c r="D369" s="30" t="s">
        <v>109</v>
      </c>
      <c r="E369" s="30">
        <f ca="1">'eoy24'!J565</f>
        <v>0</v>
      </c>
      <c r="F369" s="215"/>
      <c r="G369" s="704"/>
      <c r="H369" s="704"/>
      <c r="I369" s="704"/>
      <c r="W369" s="1"/>
      <c r="X369" s="1"/>
      <c r="Y369" s="1"/>
      <c r="Z369" s="1"/>
      <c r="AA369" s="1"/>
      <c r="AB369" s="1"/>
      <c r="AC369" s="1"/>
      <c r="AD369" s="1"/>
      <c r="AE369" s="1"/>
      <c r="AF369" s="1"/>
      <c r="AG369" s="1"/>
      <c r="AH369" s="113"/>
      <c r="AI369" s="3"/>
    </row>
    <row r="370" spans="1:35" ht="15" hidden="1" customHeight="1">
      <c r="A370" s="30">
        <f t="shared" ca="1" si="9"/>
        <v>0</v>
      </c>
      <c r="B370" s="72"/>
      <c r="C370" s="63">
        <v>2820</v>
      </c>
      <c r="D370" s="30" t="s">
        <v>242</v>
      </c>
      <c r="E370" s="30">
        <f ca="1">'eoy24'!J566</f>
        <v>0</v>
      </c>
      <c r="F370" s="215"/>
      <c r="G370" s="704"/>
      <c r="H370" s="704"/>
      <c r="I370" s="704"/>
      <c r="W370" s="1"/>
      <c r="X370" s="1"/>
      <c r="Y370" s="1"/>
      <c r="Z370" s="1"/>
      <c r="AA370" s="1"/>
      <c r="AB370" s="1"/>
      <c r="AC370" s="1"/>
      <c r="AD370" s="1"/>
      <c r="AE370" s="1"/>
      <c r="AF370" s="1"/>
      <c r="AG370" s="1"/>
      <c r="AH370" s="113"/>
      <c r="AI370" s="3"/>
    </row>
    <row r="371" spans="1:35" ht="15" hidden="1" customHeight="1">
      <c r="A371" s="30">
        <f t="shared" ca="1" si="9"/>
        <v>0</v>
      </c>
      <c r="B371" s="72"/>
      <c r="C371" s="63">
        <v>2821</v>
      </c>
      <c r="D371" s="30" t="s">
        <v>111</v>
      </c>
      <c r="E371" s="30">
        <f ca="1">'eoy24'!J567</f>
        <v>0</v>
      </c>
      <c r="F371" s="215"/>
      <c r="G371" s="704"/>
      <c r="H371" s="704"/>
      <c r="I371" s="704"/>
      <c r="W371" s="1"/>
      <c r="X371" s="1"/>
      <c r="Y371" s="1"/>
      <c r="Z371" s="1"/>
      <c r="AA371" s="1"/>
      <c r="AB371" s="1"/>
      <c r="AC371" s="1"/>
      <c r="AD371" s="1"/>
      <c r="AE371" s="1"/>
      <c r="AF371" s="1"/>
      <c r="AG371" s="1"/>
      <c r="AH371" s="113"/>
      <c r="AI371" s="3"/>
    </row>
    <row r="372" spans="1:35" ht="15" hidden="1" customHeight="1">
      <c r="A372" s="30">
        <f t="shared" ca="1" si="9"/>
        <v>0</v>
      </c>
      <c r="B372" s="72"/>
      <c r="C372" s="63">
        <v>2822</v>
      </c>
      <c r="D372" s="30" t="s">
        <v>896</v>
      </c>
      <c r="E372" s="30">
        <f ca="1">'eoy24'!J568</f>
        <v>0</v>
      </c>
      <c r="F372" s="215"/>
      <c r="G372" s="704"/>
      <c r="H372" s="704"/>
      <c r="I372" s="704"/>
      <c r="W372" s="1"/>
      <c r="X372" s="1"/>
      <c r="Y372" s="1"/>
      <c r="Z372" s="1"/>
      <c r="AA372" s="1"/>
      <c r="AB372" s="1"/>
      <c r="AC372" s="1"/>
      <c r="AD372" s="1"/>
      <c r="AE372" s="1"/>
      <c r="AF372" s="1"/>
      <c r="AG372" s="1"/>
      <c r="AH372" s="113"/>
      <c r="AI372" s="3"/>
    </row>
    <row r="373" spans="1:35" ht="15" hidden="1" customHeight="1">
      <c r="A373" s="30">
        <f t="shared" ca="1" si="9"/>
        <v>0</v>
      </c>
      <c r="B373" s="72"/>
      <c r="C373" s="63">
        <v>2823</v>
      </c>
      <c r="D373" s="30" t="s">
        <v>113</v>
      </c>
      <c r="E373" s="30">
        <f ca="1">'eoy24'!J569</f>
        <v>0</v>
      </c>
      <c r="F373" s="215"/>
      <c r="G373" s="704"/>
      <c r="H373" s="704"/>
      <c r="I373" s="704"/>
      <c r="W373" s="1"/>
      <c r="X373" s="1"/>
      <c r="Y373" s="1"/>
      <c r="Z373" s="1"/>
      <c r="AA373" s="1"/>
      <c r="AB373" s="1"/>
      <c r="AC373" s="1"/>
      <c r="AD373" s="1"/>
      <c r="AE373" s="1"/>
      <c r="AF373" s="1"/>
      <c r="AG373" s="1"/>
      <c r="AH373" s="113"/>
      <c r="AI373" s="3"/>
    </row>
    <row r="374" spans="1:35" ht="15" hidden="1" customHeight="1">
      <c r="A374" s="30">
        <f t="shared" ca="1" si="9"/>
        <v>0</v>
      </c>
      <c r="B374" s="72"/>
      <c r="C374" s="63">
        <v>2824</v>
      </c>
      <c r="D374" s="30" t="s">
        <v>114</v>
      </c>
      <c r="E374" s="30">
        <f ca="1">'eoy24'!J570</f>
        <v>0</v>
      </c>
      <c r="F374" s="215"/>
      <c r="G374" s="704"/>
      <c r="H374" s="704"/>
      <c r="I374" s="704"/>
      <c r="W374" s="1"/>
      <c r="X374" s="1"/>
      <c r="Y374" s="1"/>
      <c r="Z374" s="1"/>
      <c r="AA374" s="1"/>
      <c r="AB374" s="1"/>
      <c r="AC374" s="1"/>
      <c r="AD374" s="1"/>
      <c r="AE374" s="1"/>
      <c r="AF374" s="1"/>
      <c r="AG374" s="1"/>
      <c r="AH374" s="113"/>
      <c r="AI374" s="3"/>
    </row>
    <row r="375" spans="1:35" ht="15" hidden="1" customHeight="1">
      <c r="A375" s="30">
        <f t="shared" ca="1" si="9"/>
        <v>0</v>
      </c>
      <c r="B375" s="72"/>
      <c r="C375" s="63">
        <v>2825</v>
      </c>
      <c r="D375" s="30" t="s">
        <v>115</v>
      </c>
      <c r="E375" s="30">
        <f ca="1">'eoy24'!J571</f>
        <v>0</v>
      </c>
      <c r="F375" s="215"/>
      <c r="G375" s="704"/>
      <c r="H375" s="704"/>
      <c r="I375" s="704"/>
      <c r="W375" s="1"/>
      <c r="X375" s="1"/>
      <c r="Y375" s="1"/>
      <c r="Z375" s="1"/>
      <c r="AA375" s="1"/>
      <c r="AB375" s="1"/>
      <c r="AC375" s="1"/>
      <c r="AD375" s="1"/>
      <c r="AE375" s="1"/>
      <c r="AF375" s="1"/>
      <c r="AG375" s="1"/>
      <c r="AH375" s="113"/>
      <c r="AI375" s="3"/>
    </row>
    <row r="376" spans="1:35" ht="15" hidden="1" customHeight="1">
      <c r="A376" s="30">
        <f t="shared" ca="1" si="9"/>
        <v>0</v>
      </c>
      <c r="B376" s="72"/>
      <c r="C376" s="63">
        <v>2826</v>
      </c>
      <c r="D376" s="30" t="s">
        <v>243</v>
      </c>
      <c r="E376" s="30">
        <f ca="1">'eoy24'!J572</f>
        <v>0</v>
      </c>
      <c r="F376" s="215"/>
      <c r="G376" s="704"/>
      <c r="H376" s="704"/>
      <c r="I376" s="704"/>
      <c r="W376" s="1"/>
      <c r="X376" s="1"/>
      <c r="Y376" s="1"/>
      <c r="Z376" s="1"/>
      <c r="AA376" s="1"/>
      <c r="AB376" s="1"/>
      <c r="AC376" s="1"/>
      <c r="AD376" s="1"/>
      <c r="AE376" s="1"/>
      <c r="AF376" s="1"/>
      <c r="AG376" s="1"/>
      <c r="AH376" s="113"/>
      <c r="AI376" s="3"/>
    </row>
    <row r="377" spans="1:35" ht="15" hidden="1" customHeight="1">
      <c r="A377" s="30">
        <f t="shared" ca="1" si="9"/>
        <v>0</v>
      </c>
      <c r="B377" s="72"/>
      <c r="C377" s="63">
        <v>2827</v>
      </c>
      <c r="D377" s="30" t="s">
        <v>117</v>
      </c>
      <c r="E377" s="30">
        <f ca="1">'eoy24'!J573</f>
        <v>0</v>
      </c>
      <c r="F377" s="215"/>
      <c r="G377" s="704"/>
      <c r="H377" s="704"/>
      <c r="I377" s="704"/>
      <c r="W377" s="1"/>
      <c r="X377" s="1"/>
      <c r="Y377" s="1"/>
      <c r="Z377" s="1"/>
      <c r="AA377" s="1"/>
      <c r="AB377" s="1"/>
      <c r="AC377" s="1"/>
      <c r="AD377" s="1"/>
      <c r="AE377" s="1"/>
      <c r="AF377" s="1"/>
      <c r="AG377" s="1"/>
      <c r="AH377" s="113"/>
      <c r="AI377" s="3"/>
    </row>
    <row r="378" spans="1:35" ht="15" hidden="1" customHeight="1">
      <c r="A378" s="30">
        <f t="shared" ca="1" si="9"/>
        <v>0</v>
      </c>
      <c r="B378" s="72"/>
      <c r="C378" s="63">
        <v>2828</v>
      </c>
      <c r="D378" s="30" t="s">
        <v>118</v>
      </c>
      <c r="E378" s="30">
        <f ca="1">'eoy24'!J574</f>
        <v>0</v>
      </c>
      <c r="F378" s="215"/>
      <c r="G378" s="704"/>
      <c r="H378" s="704"/>
      <c r="I378" s="704"/>
      <c r="W378" s="1"/>
      <c r="X378" s="1"/>
      <c r="Y378" s="1"/>
      <c r="Z378" s="1"/>
      <c r="AA378" s="1"/>
      <c r="AB378" s="1"/>
      <c r="AC378" s="1"/>
      <c r="AD378" s="1"/>
      <c r="AE378" s="1"/>
      <c r="AF378" s="1"/>
      <c r="AG378" s="1"/>
      <c r="AH378" s="113"/>
      <c r="AI378" s="3"/>
    </row>
    <row r="379" spans="1:35" ht="15" hidden="1" customHeight="1">
      <c r="A379" s="30">
        <f t="shared" ca="1" si="9"/>
        <v>0</v>
      </c>
      <c r="B379" s="72"/>
      <c r="C379" s="63">
        <v>2829</v>
      </c>
      <c r="D379" s="30" t="s">
        <v>119</v>
      </c>
      <c r="E379" s="30">
        <f ca="1">'eoy24'!J575</f>
        <v>0</v>
      </c>
      <c r="F379" s="215"/>
      <c r="G379" s="704"/>
      <c r="H379" s="704"/>
      <c r="I379" s="704"/>
      <c r="W379" s="1"/>
      <c r="X379" s="1"/>
      <c r="Y379" s="1"/>
      <c r="Z379" s="1"/>
      <c r="AA379" s="1"/>
      <c r="AB379" s="1"/>
      <c r="AC379" s="1"/>
      <c r="AD379" s="1"/>
      <c r="AE379" s="1"/>
      <c r="AF379" s="1"/>
      <c r="AG379" s="1"/>
      <c r="AH379" s="113"/>
      <c r="AI379" s="3"/>
    </row>
    <row r="380" spans="1:35" ht="15" hidden="1" customHeight="1">
      <c r="A380" s="30">
        <f t="shared" ca="1" si="9"/>
        <v>0</v>
      </c>
      <c r="B380" s="72"/>
      <c r="C380" s="63">
        <v>2830</v>
      </c>
      <c r="D380" s="30" t="s">
        <v>120</v>
      </c>
      <c r="E380" s="30">
        <f ca="1">'eoy24'!J576</f>
        <v>0</v>
      </c>
      <c r="F380" s="215"/>
      <c r="G380" s="704"/>
      <c r="H380" s="704"/>
      <c r="I380" s="704"/>
      <c r="W380" s="1"/>
      <c r="X380" s="1"/>
      <c r="Y380" s="1"/>
      <c r="Z380" s="1"/>
      <c r="AA380" s="1"/>
      <c r="AB380" s="1"/>
      <c r="AC380" s="1"/>
      <c r="AD380" s="1"/>
      <c r="AE380" s="1"/>
      <c r="AF380" s="1"/>
      <c r="AG380" s="1"/>
      <c r="AH380" s="113"/>
      <c r="AI380" s="3"/>
    </row>
    <row r="381" spans="1:35" ht="15" hidden="1" customHeight="1">
      <c r="A381" s="30">
        <f t="shared" ca="1" si="9"/>
        <v>0</v>
      </c>
      <c r="B381" s="72"/>
      <c r="C381" s="63">
        <v>2831</v>
      </c>
      <c r="D381" s="30" t="s">
        <v>121</v>
      </c>
      <c r="E381" s="30">
        <f ca="1">'eoy24'!J577</f>
        <v>0</v>
      </c>
      <c r="F381" s="215"/>
      <c r="G381" s="704"/>
      <c r="H381" s="704"/>
      <c r="I381" s="704"/>
      <c r="W381" s="1"/>
      <c r="X381" s="1"/>
      <c r="Y381" s="1"/>
      <c r="Z381" s="1"/>
      <c r="AA381" s="1"/>
      <c r="AB381" s="1"/>
      <c r="AC381" s="1"/>
      <c r="AD381" s="1"/>
      <c r="AE381" s="1"/>
      <c r="AF381" s="1"/>
      <c r="AG381" s="1"/>
      <c r="AH381" s="113"/>
      <c r="AI381" s="3"/>
    </row>
    <row r="382" spans="1:35" ht="15" hidden="1" customHeight="1">
      <c r="A382" s="30">
        <f t="shared" ca="1" si="9"/>
        <v>0</v>
      </c>
      <c r="B382" s="72"/>
      <c r="C382" s="63">
        <v>2832</v>
      </c>
      <c r="D382" s="30" t="s">
        <v>122</v>
      </c>
      <c r="E382" s="30">
        <f ca="1">'eoy24'!J578</f>
        <v>0</v>
      </c>
      <c r="F382" s="215"/>
      <c r="G382" s="704"/>
      <c r="H382" s="704"/>
      <c r="I382" s="704"/>
      <c r="W382" s="1"/>
      <c r="X382" s="1"/>
      <c r="Y382" s="1"/>
      <c r="Z382" s="1"/>
      <c r="AA382" s="1"/>
      <c r="AB382" s="1"/>
      <c r="AC382" s="1"/>
      <c r="AD382" s="1"/>
      <c r="AE382" s="1"/>
      <c r="AF382" s="1"/>
      <c r="AG382" s="1"/>
      <c r="AH382" s="113"/>
      <c r="AI382" s="3"/>
    </row>
    <row r="383" spans="1:35" ht="15" hidden="1" customHeight="1">
      <c r="A383" s="30">
        <f t="shared" ca="1" si="9"/>
        <v>0</v>
      </c>
      <c r="B383" s="72"/>
      <c r="C383" s="63">
        <v>2833</v>
      </c>
      <c r="D383" s="30" t="s">
        <v>123</v>
      </c>
      <c r="E383" s="30">
        <f ca="1">'eoy24'!J579</f>
        <v>0</v>
      </c>
      <c r="F383" s="215"/>
      <c r="G383" s="704"/>
      <c r="H383" s="704"/>
      <c r="I383" s="704"/>
      <c r="W383" s="1"/>
      <c r="X383" s="1"/>
      <c r="Y383" s="1"/>
      <c r="Z383" s="1"/>
      <c r="AA383" s="1"/>
      <c r="AB383" s="1"/>
      <c r="AC383" s="1"/>
      <c r="AD383" s="1"/>
      <c r="AE383" s="1"/>
      <c r="AF383" s="1"/>
      <c r="AG383" s="1"/>
      <c r="AH383" s="113"/>
      <c r="AI383" s="3"/>
    </row>
    <row r="384" spans="1:35" ht="15" hidden="1" customHeight="1">
      <c r="A384" s="30">
        <f t="shared" ca="1" si="9"/>
        <v>0</v>
      </c>
      <c r="B384" s="72"/>
      <c r="C384" s="63">
        <v>2834</v>
      </c>
      <c r="D384" s="30" t="s">
        <v>124</v>
      </c>
      <c r="E384" s="30">
        <f ca="1">'eoy24'!J580</f>
        <v>0</v>
      </c>
      <c r="F384" s="215"/>
      <c r="G384" s="704"/>
      <c r="H384" s="704"/>
      <c r="I384" s="704"/>
      <c r="W384" s="1"/>
      <c r="X384" s="1"/>
      <c r="Y384" s="1"/>
      <c r="Z384" s="1"/>
      <c r="AA384" s="1"/>
      <c r="AB384" s="1"/>
      <c r="AC384" s="1"/>
      <c r="AD384" s="1"/>
      <c r="AE384" s="1"/>
      <c r="AF384" s="1"/>
      <c r="AG384" s="1"/>
      <c r="AH384" s="113"/>
      <c r="AI384" s="3"/>
    </row>
    <row r="385" spans="1:35" ht="15" hidden="1" customHeight="1">
      <c r="A385" s="30">
        <f t="shared" ca="1" si="9"/>
        <v>0</v>
      </c>
      <c r="B385" s="72"/>
      <c r="C385" s="63">
        <v>2835</v>
      </c>
      <c r="D385" s="30" t="s">
        <v>125</v>
      </c>
      <c r="E385" s="30">
        <f ca="1">'eoy24'!J581</f>
        <v>0</v>
      </c>
      <c r="F385" s="215"/>
      <c r="G385" s="704"/>
      <c r="H385" s="704"/>
      <c r="I385" s="704"/>
      <c r="W385" s="1"/>
      <c r="X385" s="1"/>
      <c r="Y385" s="1"/>
      <c r="Z385" s="1"/>
      <c r="AA385" s="1"/>
      <c r="AB385" s="1"/>
      <c r="AC385" s="1"/>
      <c r="AD385" s="1"/>
      <c r="AE385" s="1"/>
      <c r="AF385" s="1"/>
      <c r="AG385" s="1"/>
      <c r="AH385" s="113"/>
      <c r="AI385" s="3"/>
    </row>
    <row r="386" spans="1:35" ht="15" hidden="1" customHeight="1">
      <c r="A386" s="30">
        <f t="shared" ca="1" si="9"/>
        <v>0</v>
      </c>
      <c r="B386" s="72"/>
      <c r="C386" s="63">
        <v>2836</v>
      </c>
      <c r="D386" s="30" t="s">
        <v>244</v>
      </c>
      <c r="E386" s="30">
        <f ca="1">'eoy24'!J582</f>
        <v>0</v>
      </c>
      <c r="F386" s="215"/>
      <c r="G386" s="704"/>
      <c r="H386" s="704"/>
      <c r="I386" s="704"/>
      <c r="W386" s="1"/>
      <c r="X386" s="1"/>
      <c r="Y386" s="1"/>
      <c r="Z386" s="1"/>
      <c r="AA386" s="1"/>
      <c r="AB386" s="1"/>
      <c r="AC386" s="1"/>
      <c r="AD386" s="1"/>
      <c r="AE386" s="1"/>
      <c r="AF386" s="1"/>
      <c r="AG386" s="1"/>
      <c r="AH386" s="113"/>
      <c r="AI386" s="3"/>
    </row>
    <row r="387" spans="1:35" ht="15" hidden="1" customHeight="1">
      <c r="A387" s="30">
        <f t="shared" ca="1" si="9"/>
        <v>0</v>
      </c>
      <c r="B387" s="72"/>
      <c r="C387" s="63">
        <v>2900</v>
      </c>
      <c r="D387" s="30" t="s">
        <v>127</v>
      </c>
      <c r="E387" s="30">
        <f ca="1">'eoy24'!J583</f>
        <v>0</v>
      </c>
      <c r="F387" s="215"/>
      <c r="G387" s="704"/>
      <c r="H387" s="704"/>
      <c r="I387" s="704"/>
      <c r="W387" s="1"/>
      <c r="X387" s="1"/>
      <c r="Y387" s="1"/>
      <c r="Z387" s="1"/>
      <c r="AA387" s="1"/>
      <c r="AB387" s="1"/>
      <c r="AC387" s="1"/>
      <c r="AD387" s="1"/>
      <c r="AE387" s="1"/>
      <c r="AF387" s="1"/>
      <c r="AG387" s="1"/>
      <c r="AH387" s="113"/>
      <c r="AI387" s="3"/>
    </row>
    <row r="388" spans="1:35" ht="15" hidden="1" customHeight="1">
      <c r="A388" s="30">
        <f t="shared" ca="1" si="9"/>
        <v>0</v>
      </c>
      <c r="B388" s="72"/>
      <c r="C388" s="63">
        <v>2901</v>
      </c>
      <c r="D388" s="30" t="s">
        <v>128</v>
      </c>
      <c r="E388" s="30">
        <f ca="1">'eoy24'!J584</f>
        <v>0</v>
      </c>
      <c r="F388" s="215"/>
      <c r="G388" s="704"/>
      <c r="H388" s="704"/>
      <c r="I388" s="704"/>
      <c r="W388" s="1"/>
      <c r="X388" s="1"/>
      <c r="Y388" s="1"/>
      <c r="Z388" s="1"/>
      <c r="AA388" s="1"/>
      <c r="AB388" s="1"/>
      <c r="AC388" s="1"/>
      <c r="AD388" s="1"/>
      <c r="AE388" s="1"/>
      <c r="AF388" s="1"/>
      <c r="AG388" s="1"/>
      <c r="AH388" s="113"/>
      <c r="AI388" s="3"/>
    </row>
    <row r="389" spans="1:35" ht="15" hidden="1" customHeight="1">
      <c r="A389" s="30">
        <f t="shared" ca="1" si="9"/>
        <v>0</v>
      </c>
      <c r="B389" s="72"/>
      <c r="C389" s="63">
        <v>2910</v>
      </c>
      <c r="D389" s="30" t="s">
        <v>129</v>
      </c>
      <c r="E389" s="30">
        <f>'eoy24'!J587</f>
        <v>0</v>
      </c>
      <c r="F389" s="215"/>
      <c r="G389" s="704"/>
      <c r="H389" s="704"/>
      <c r="I389" s="704"/>
      <c r="W389" s="1"/>
      <c r="X389" s="1"/>
      <c r="Y389" s="1"/>
      <c r="Z389" s="1"/>
      <c r="AA389" s="1"/>
      <c r="AB389" s="1"/>
      <c r="AC389" s="1"/>
      <c r="AD389" s="1"/>
      <c r="AE389" s="1"/>
      <c r="AF389" s="1"/>
      <c r="AG389" s="1"/>
      <c r="AH389" s="113"/>
      <c r="AI389" s="3"/>
    </row>
    <row r="390" spans="1:35" ht="15" hidden="1" customHeight="1">
      <c r="A390" s="30">
        <f t="shared" ca="1" si="9"/>
        <v>0</v>
      </c>
      <c r="B390" s="72"/>
      <c r="C390" s="63">
        <v>2920</v>
      </c>
      <c r="D390" s="30" t="s">
        <v>130</v>
      </c>
      <c r="E390" s="30">
        <f>'eoy24'!J588</f>
        <v>0</v>
      </c>
      <c r="F390" s="215"/>
      <c r="G390" s="704"/>
      <c r="H390" s="704"/>
      <c r="I390" s="704"/>
      <c r="W390" s="1"/>
      <c r="X390" s="1"/>
      <c r="Y390" s="1"/>
      <c r="Z390" s="1"/>
      <c r="AA390" s="1"/>
      <c r="AB390" s="1"/>
      <c r="AC390" s="1"/>
      <c r="AD390" s="1"/>
      <c r="AE390" s="1"/>
      <c r="AF390" s="1"/>
      <c r="AG390" s="1"/>
      <c r="AH390" s="113"/>
      <c r="AI390" s="3"/>
    </row>
    <row r="391" spans="1:35" ht="15" hidden="1" customHeight="1">
      <c r="A391" s="30">
        <f t="shared" ca="1" si="9"/>
        <v>0</v>
      </c>
      <c r="B391" s="72"/>
      <c r="C391" s="63">
        <v>2930</v>
      </c>
      <c r="D391" s="30" t="s">
        <v>131</v>
      </c>
      <c r="E391" s="30">
        <f>'eoy24'!J589</f>
        <v>0</v>
      </c>
      <c r="F391" s="215"/>
      <c r="G391" s="704"/>
      <c r="H391" s="704"/>
      <c r="I391" s="704"/>
      <c r="W391" s="1"/>
      <c r="X391" s="1"/>
      <c r="Y391" s="1"/>
      <c r="Z391" s="1"/>
      <c r="AA391" s="1"/>
      <c r="AB391" s="1"/>
      <c r="AC391" s="1"/>
      <c r="AD391" s="1"/>
      <c r="AE391" s="1"/>
      <c r="AF391" s="1"/>
      <c r="AG391" s="1"/>
      <c r="AH391" s="113"/>
      <c r="AI391" s="3"/>
    </row>
    <row r="392" spans="1:35" ht="15" hidden="1" customHeight="1">
      <c r="A392" s="30">
        <f t="shared" ca="1" si="9"/>
        <v>0</v>
      </c>
      <c r="B392" s="72"/>
      <c r="C392" s="63">
        <v>2940</v>
      </c>
      <c r="D392" s="30" t="s">
        <v>132</v>
      </c>
      <c r="E392" s="30">
        <f>'eoy24'!J590</f>
        <v>0</v>
      </c>
      <c r="F392" s="215"/>
      <c r="G392" s="704"/>
      <c r="H392" s="704"/>
      <c r="I392" s="704"/>
      <c r="W392" s="1"/>
      <c r="X392" s="1"/>
      <c r="Y392" s="1"/>
      <c r="Z392" s="1"/>
      <c r="AA392" s="1"/>
      <c r="AB392" s="1"/>
      <c r="AC392" s="1"/>
      <c r="AD392" s="1"/>
      <c r="AE392" s="1"/>
      <c r="AF392" s="1"/>
      <c r="AG392" s="1"/>
      <c r="AH392" s="113"/>
      <c r="AI392" s="3"/>
    </row>
    <row r="393" spans="1:35" ht="15" hidden="1" customHeight="1">
      <c r="A393" s="30">
        <f t="shared" ca="1" si="9"/>
        <v>0</v>
      </c>
      <c r="B393" s="72"/>
      <c r="C393" s="63">
        <v>2950</v>
      </c>
      <c r="D393" s="30" t="s">
        <v>134</v>
      </c>
      <c r="E393" s="30">
        <f>'eoy24'!J591</f>
        <v>0</v>
      </c>
      <c r="F393" s="215"/>
      <c r="G393" s="704"/>
      <c r="H393" s="704"/>
      <c r="I393" s="704"/>
      <c r="W393" s="1"/>
      <c r="X393" s="1"/>
      <c r="Y393" s="1"/>
      <c r="Z393" s="1"/>
      <c r="AA393" s="1"/>
      <c r="AB393" s="1"/>
      <c r="AC393" s="1"/>
      <c r="AD393" s="1"/>
      <c r="AE393" s="1"/>
      <c r="AF393" s="1"/>
      <c r="AG393" s="1"/>
      <c r="AH393" s="113"/>
      <c r="AI393" s="3"/>
    </row>
    <row r="394" spans="1:35" ht="15" hidden="1" customHeight="1">
      <c r="A394" s="30">
        <f t="shared" ca="1" si="9"/>
        <v>0</v>
      </c>
      <c r="B394" s="72"/>
      <c r="C394" s="63">
        <v>2960</v>
      </c>
      <c r="D394" s="30" t="s">
        <v>246</v>
      </c>
      <c r="E394" s="30">
        <f>'eoy24'!J592</f>
        <v>0</v>
      </c>
      <c r="F394" s="215"/>
      <c r="G394" s="704"/>
      <c r="H394" s="704"/>
      <c r="I394" s="704"/>
      <c r="W394" s="1"/>
      <c r="X394" s="1"/>
      <c r="Y394" s="1"/>
      <c r="Z394" s="1"/>
      <c r="AA394" s="1"/>
      <c r="AB394" s="1"/>
      <c r="AC394" s="1"/>
      <c r="AD394" s="1"/>
      <c r="AE394" s="1"/>
      <c r="AF394" s="1"/>
      <c r="AG394" s="1"/>
      <c r="AH394" s="113"/>
      <c r="AI394" s="3"/>
    </row>
    <row r="395" spans="1:35" ht="15" hidden="1" customHeight="1">
      <c r="A395" s="30">
        <f t="shared" ca="1" si="9"/>
        <v>0</v>
      </c>
      <c r="B395" s="72"/>
      <c r="C395" s="63">
        <v>2965</v>
      </c>
      <c r="D395" s="30" t="s">
        <v>247</v>
      </c>
      <c r="E395" s="30">
        <f>'eoy24'!J593</f>
        <v>0</v>
      </c>
      <c r="F395" s="215"/>
      <c r="G395" s="704"/>
      <c r="H395" s="704"/>
      <c r="I395" s="704"/>
      <c r="W395" s="1"/>
      <c r="X395" s="1"/>
      <c r="Y395" s="1"/>
      <c r="Z395" s="1"/>
      <c r="AA395" s="1"/>
      <c r="AB395" s="1"/>
      <c r="AC395" s="1"/>
      <c r="AD395" s="1"/>
      <c r="AE395" s="1"/>
      <c r="AF395" s="1"/>
      <c r="AG395" s="1"/>
      <c r="AH395" s="113"/>
      <c r="AI395" s="3"/>
    </row>
    <row r="396" spans="1:35" ht="15" hidden="1" customHeight="1">
      <c r="A396" s="30">
        <f t="shared" ca="1" si="9"/>
        <v>0</v>
      </c>
      <c r="B396" s="72"/>
      <c r="C396" s="63">
        <v>2971</v>
      </c>
      <c r="D396" s="30" t="s">
        <v>137</v>
      </c>
      <c r="E396" s="30">
        <f>'eoy24'!J594</f>
        <v>0</v>
      </c>
      <c r="F396" s="215"/>
      <c r="G396" s="704"/>
      <c r="H396" s="704"/>
      <c r="I396" s="704"/>
      <c r="W396" s="1"/>
      <c r="X396" s="1"/>
      <c r="Y396" s="1"/>
      <c r="Z396" s="1"/>
      <c r="AA396" s="1"/>
      <c r="AB396" s="1"/>
      <c r="AC396" s="1"/>
      <c r="AD396" s="1"/>
      <c r="AE396" s="1"/>
      <c r="AF396" s="1"/>
      <c r="AG396" s="1"/>
      <c r="AH396" s="113"/>
      <c r="AI396" s="3"/>
    </row>
    <row r="397" spans="1:35" ht="15" hidden="1" customHeight="1">
      <c r="A397" s="30">
        <f t="shared" ca="1" si="9"/>
        <v>0</v>
      </c>
      <c r="B397" s="72"/>
      <c r="C397" s="63">
        <v>2972</v>
      </c>
      <c r="D397" s="30" t="s">
        <v>138</v>
      </c>
      <c r="E397" s="30">
        <f>'eoy24'!J595</f>
        <v>0</v>
      </c>
      <c r="F397" s="215"/>
      <c r="G397" s="704"/>
      <c r="H397" s="704"/>
      <c r="I397" s="704"/>
      <c r="W397" s="1"/>
      <c r="X397" s="1"/>
      <c r="Y397" s="1"/>
      <c r="Z397" s="1"/>
      <c r="AA397" s="1"/>
      <c r="AB397" s="1"/>
      <c r="AC397" s="1"/>
      <c r="AD397" s="1"/>
      <c r="AE397" s="1"/>
      <c r="AF397" s="1"/>
      <c r="AG397" s="1"/>
      <c r="AH397" s="113"/>
      <c r="AI397" s="3"/>
    </row>
    <row r="398" spans="1:35" ht="15" hidden="1" customHeight="1">
      <c r="A398" s="30">
        <f t="shared" ca="1" si="9"/>
        <v>0</v>
      </c>
      <c r="B398" s="72"/>
      <c r="C398" s="63">
        <v>2973</v>
      </c>
      <c r="D398" s="30" t="s">
        <v>139</v>
      </c>
      <c r="E398" s="30">
        <f>'eoy24'!J596</f>
        <v>0</v>
      </c>
      <c r="F398" s="215"/>
      <c r="G398" s="704"/>
      <c r="H398" s="704"/>
      <c r="I398" s="704"/>
      <c r="W398" s="1"/>
      <c r="X398" s="1"/>
      <c r="Y398" s="1"/>
      <c r="Z398" s="1"/>
      <c r="AA398" s="1"/>
      <c r="AB398" s="1"/>
      <c r="AC398" s="1"/>
      <c r="AD398" s="1"/>
      <c r="AE398" s="1"/>
      <c r="AF398" s="1"/>
      <c r="AG398" s="1"/>
      <c r="AH398" s="113"/>
      <c r="AI398" s="3"/>
    </row>
    <row r="399" spans="1:35" ht="15" hidden="1" customHeight="1">
      <c r="A399" s="30">
        <f t="shared" ca="1" si="9"/>
        <v>0</v>
      </c>
      <c r="B399" s="72"/>
      <c r="C399" s="63">
        <v>2974</v>
      </c>
      <c r="D399" s="30" t="s">
        <v>140</v>
      </c>
      <c r="E399" s="30">
        <f>'eoy24'!J597</f>
        <v>0</v>
      </c>
      <c r="F399" s="215"/>
      <c r="G399" s="704"/>
      <c r="H399" s="704"/>
      <c r="I399" s="704"/>
      <c r="W399" s="1"/>
      <c r="X399" s="1"/>
      <c r="Y399" s="1"/>
      <c r="Z399" s="1"/>
      <c r="AA399" s="1"/>
      <c r="AB399" s="1"/>
      <c r="AC399" s="1"/>
      <c r="AD399" s="1"/>
      <c r="AE399" s="1"/>
      <c r="AF399" s="1"/>
      <c r="AG399" s="1"/>
      <c r="AH399" s="113"/>
      <c r="AI399" s="3"/>
    </row>
    <row r="400" spans="1:35" ht="15" hidden="1" customHeight="1">
      <c r="A400" s="30">
        <f t="shared" ca="1" si="9"/>
        <v>0</v>
      </c>
      <c r="B400" s="72"/>
      <c r="C400" s="63">
        <v>2975</v>
      </c>
      <c r="D400" s="30" t="s">
        <v>141</v>
      </c>
      <c r="E400" s="30">
        <f>'eoy24'!J598</f>
        <v>0</v>
      </c>
      <c r="F400" s="215"/>
      <c r="G400" s="704"/>
      <c r="H400" s="704"/>
      <c r="I400" s="704"/>
      <c r="W400" s="1"/>
      <c r="X400" s="1"/>
      <c r="Y400" s="1"/>
      <c r="Z400" s="1"/>
      <c r="AA400" s="1"/>
      <c r="AB400" s="1"/>
      <c r="AC400" s="1"/>
      <c r="AD400" s="1"/>
      <c r="AE400" s="1"/>
      <c r="AF400" s="1"/>
      <c r="AG400" s="1"/>
      <c r="AH400" s="113"/>
      <c r="AI400" s="3"/>
    </row>
    <row r="401" spans="1:35" ht="15" hidden="1" customHeight="1">
      <c r="A401" s="30">
        <f t="shared" ca="1" si="9"/>
        <v>0</v>
      </c>
      <c r="B401" s="72"/>
      <c r="C401" s="63">
        <v>2976</v>
      </c>
      <c r="D401" s="30" t="s">
        <v>142</v>
      </c>
      <c r="E401" s="30">
        <f>'eoy24'!J599</f>
        <v>0</v>
      </c>
      <c r="F401" s="215"/>
      <c r="G401" s="704"/>
      <c r="H401" s="704"/>
      <c r="I401" s="704"/>
      <c r="W401" s="1"/>
      <c r="X401" s="1"/>
      <c r="Y401" s="1"/>
      <c r="Z401" s="1"/>
      <c r="AA401" s="1"/>
      <c r="AB401" s="1"/>
      <c r="AC401" s="1"/>
      <c r="AD401" s="1"/>
      <c r="AE401" s="1"/>
      <c r="AF401" s="1"/>
      <c r="AG401" s="1"/>
      <c r="AH401" s="113"/>
      <c r="AI401" s="3"/>
    </row>
    <row r="402" spans="1:35" ht="15" hidden="1" customHeight="1">
      <c r="A402" s="30">
        <f t="shared" ca="1" si="9"/>
        <v>0</v>
      </c>
      <c r="B402" s="72"/>
      <c r="C402" s="63">
        <v>2977</v>
      </c>
      <c r="D402" s="30" t="s">
        <v>143</v>
      </c>
      <c r="E402" s="30">
        <f>'eoy24'!J600</f>
        <v>0</v>
      </c>
      <c r="F402" s="215"/>
      <c r="G402" s="704"/>
      <c r="H402" s="704"/>
      <c r="I402" s="704"/>
      <c r="W402" s="1"/>
      <c r="X402" s="1"/>
      <c r="Y402" s="1"/>
      <c r="Z402" s="1"/>
      <c r="AA402" s="1"/>
      <c r="AB402" s="1"/>
      <c r="AC402" s="1"/>
      <c r="AD402" s="1"/>
      <c r="AE402" s="1"/>
      <c r="AF402" s="1"/>
      <c r="AG402" s="1"/>
      <c r="AH402" s="113"/>
      <c r="AI402" s="3"/>
    </row>
    <row r="403" spans="1:35" ht="15" hidden="1" customHeight="1">
      <c r="A403" s="30">
        <f t="shared" ca="1" si="9"/>
        <v>0</v>
      </c>
      <c r="B403" s="72"/>
      <c r="C403" s="63">
        <v>2980</v>
      </c>
      <c r="D403" s="30" t="s">
        <v>248</v>
      </c>
      <c r="E403" s="30">
        <f>'eoy24'!J601</f>
        <v>0</v>
      </c>
      <c r="F403" s="215"/>
      <c r="G403" s="704"/>
      <c r="H403" s="704"/>
      <c r="I403" s="704"/>
      <c r="W403" s="1"/>
      <c r="X403" s="1"/>
      <c r="Y403" s="1"/>
      <c r="Z403" s="1"/>
      <c r="AA403" s="1"/>
      <c r="AB403" s="1"/>
      <c r="AC403" s="1"/>
      <c r="AD403" s="1"/>
      <c r="AE403" s="1"/>
      <c r="AF403" s="1"/>
      <c r="AG403" s="1"/>
      <c r="AH403" s="113"/>
      <c r="AI403" s="3"/>
    </row>
    <row r="404" spans="1:35" ht="15" hidden="1" customHeight="1">
      <c r="A404" s="30">
        <f t="shared" ca="1" si="9"/>
        <v>0</v>
      </c>
      <c r="B404" s="72"/>
      <c r="C404" s="63">
        <v>2982</v>
      </c>
      <c r="D404" s="30" t="s">
        <v>145</v>
      </c>
      <c r="E404" s="30">
        <f>'eoy24'!J602</f>
        <v>0</v>
      </c>
      <c r="F404" s="215"/>
      <c r="G404" s="704"/>
      <c r="H404" s="704"/>
      <c r="I404" s="704"/>
      <c r="W404" s="1"/>
      <c r="X404" s="1"/>
      <c r="Y404" s="1"/>
      <c r="Z404" s="1"/>
      <c r="AA404" s="1"/>
      <c r="AB404" s="1"/>
      <c r="AC404" s="1"/>
      <c r="AD404" s="1"/>
      <c r="AE404" s="1"/>
      <c r="AF404" s="1"/>
      <c r="AG404" s="1"/>
      <c r="AH404" s="113"/>
      <c r="AI404" s="3"/>
    </row>
    <row r="405" spans="1:35" ht="15" hidden="1" customHeight="1">
      <c r="A405" s="30">
        <f t="shared" ca="1" si="9"/>
        <v>0</v>
      </c>
      <c r="B405" s="72"/>
      <c r="C405" s="63">
        <v>2984</v>
      </c>
      <c r="D405" s="30" t="s">
        <v>146</v>
      </c>
      <c r="E405" s="30">
        <f>'eoy24'!J603</f>
        <v>0</v>
      </c>
      <c r="F405" s="215"/>
      <c r="G405" s="704"/>
      <c r="H405" s="704"/>
      <c r="I405" s="704"/>
      <c r="W405" s="1"/>
      <c r="X405" s="1"/>
      <c r="Y405" s="1"/>
      <c r="Z405" s="1"/>
      <c r="AA405" s="1"/>
      <c r="AB405" s="1"/>
      <c r="AC405" s="1"/>
      <c r="AD405" s="1"/>
      <c r="AE405" s="1"/>
      <c r="AF405" s="1"/>
      <c r="AG405" s="1"/>
      <c r="AH405" s="113"/>
      <c r="AI405" s="3"/>
    </row>
    <row r="406" spans="1:35" ht="15" hidden="1" customHeight="1">
      <c r="A406" s="30">
        <f t="shared" ca="1" si="9"/>
        <v>0</v>
      </c>
      <c r="B406" s="72"/>
      <c r="C406" s="63">
        <v>2991</v>
      </c>
      <c r="D406" s="30" t="s">
        <v>147</v>
      </c>
      <c r="E406" s="30">
        <f>'eoy24'!J604</f>
        <v>0</v>
      </c>
      <c r="F406" s="215"/>
      <c r="G406" s="704"/>
      <c r="H406" s="704"/>
      <c r="I406" s="704"/>
      <c r="W406" s="1"/>
      <c r="X406" s="1"/>
      <c r="Y406" s="1"/>
      <c r="Z406" s="1"/>
      <c r="AA406" s="1"/>
      <c r="AB406" s="1"/>
      <c r="AC406" s="1"/>
      <c r="AD406" s="1"/>
      <c r="AE406" s="1"/>
      <c r="AF406" s="1"/>
      <c r="AG406" s="1"/>
      <c r="AH406" s="113"/>
      <c r="AI406" s="3"/>
    </row>
    <row r="407" spans="1:35" ht="15" hidden="1" customHeight="1">
      <c r="A407" s="30">
        <f t="shared" ca="1" si="9"/>
        <v>0</v>
      </c>
      <c r="B407" s="72"/>
      <c r="C407" s="63">
        <v>2992</v>
      </c>
      <c r="D407" s="30" t="s">
        <v>148</v>
      </c>
      <c r="E407" s="30">
        <f>'eoy24'!J605</f>
        <v>0</v>
      </c>
      <c r="F407" s="215"/>
      <c r="G407" s="704"/>
      <c r="H407" s="704"/>
      <c r="I407" s="704"/>
      <c r="W407" s="1"/>
      <c r="X407" s="1"/>
      <c r="Y407" s="1"/>
      <c r="Z407" s="1"/>
      <c r="AA407" s="1"/>
      <c r="AB407" s="1"/>
      <c r="AC407" s="1"/>
      <c r="AD407" s="1"/>
      <c r="AE407" s="1"/>
      <c r="AF407" s="1"/>
      <c r="AG407" s="1"/>
      <c r="AH407" s="113"/>
      <c r="AI407" s="3"/>
    </row>
    <row r="408" spans="1:35" ht="15" hidden="1" customHeight="1">
      <c r="A408" s="30">
        <f t="shared" ca="1" si="9"/>
        <v>0</v>
      </c>
      <c r="B408" s="72"/>
      <c r="C408" s="63">
        <v>2993</v>
      </c>
      <c r="D408" s="30" t="s">
        <v>150</v>
      </c>
      <c r="E408" s="30">
        <f>'eoy24'!J606</f>
        <v>0</v>
      </c>
      <c r="F408" s="215"/>
      <c r="G408" s="704"/>
      <c r="H408" s="704"/>
      <c r="I408" s="704"/>
      <c r="W408" s="1"/>
      <c r="X408" s="1"/>
      <c r="Y408" s="1"/>
      <c r="Z408" s="1"/>
      <c r="AA408" s="1"/>
      <c r="AB408" s="1"/>
      <c r="AC408" s="1"/>
      <c r="AD408" s="1"/>
      <c r="AE408" s="1"/>
      <c r="AF408" s="1"/>
      <c r="AG408" s="1"/>
      <c r="AH408" s="113"/>
      <c r="AI408" s="3"/>
    </row>
    <row r="409" spans="1:35" ht="15" hidden="1" customHeight="1">
      <c r="A409" s="30">
        <f t="shared" ca="1" si="9"/>
        <v>0</v>
      </c>
      <c r="B409" s="72"/>
      <c r="C409" s="63">
        <v>2994</v>
      </c>
      <c r="D409" s="30" t="s">
        <v>151</v>
      </c>
      <c r="E409" s="30">
        <f>'eoy24'!J607</f>
        <v>0</v>
      </c>
      <c r="F409" s="215"/>
      <c r="G409" s="704"/>
      <c r="H409" s="704"/>
      <c r="I409" s="704"/>
      <c r="W409" s="1"/>
      <c r="X409" s="1"/>
      <c r="Y409" s="1"/>
      <c r="Z409" s="1"/>
      <c r="AA409" s="1"/>
      <c r="AB409" s="1"/>
      <c r="AC409" s="1"/>
      <c r="AD409" s="1"/>
      <c r="AE409" s="1"/>
      <c r="AF409" s="1"/>
      <c r="AG409" s="1"/>
      <c r="AH409" s="113"/>
      <c r="AI409" s="3"/>
    </row>
    <row r="410" spans="1:35" ht="15" hidden="1" customHeight="1">
      <c r="A410" s="30">
        <f t="shared" ca="1" si="9"/>
        <v>0</v>
      </c>
      <c r="B410" s="72"/>
      <c r="C410" s="63">
        <v>2995</v>
      </c>
      <c r="D410" s="30" t="s">
        <v>197</v>
      </c>
      <c r="E410" s="30">
        <f>'eoy24'!J608</f>
        <v>0</v>
      </c>
      <c r="F410" s="215"/>
      <c r="G410" s="704"/>
      <c r="H410" s="704"/>
      <c r="I410" s="704"/>
      <c r="W410" s="1"/>
      <c r="X410" s="1"/>
      <c r="Y410" s="1"/>
      <c r="Z410" s="1"/>
      <c r="AA410" s="1"/>
      <c r="AB410" s="1"/>
      <c r="AC410" s="1"/>
      <c r="AD410" s="1"/>
      <c r="AE410" s="1"/>
      <c r="AF410" s="1"/>
      <c r="AG410" s="1"/>
      <c r="AH410" s="113"/>
      <c r="AI410" s="3"/>
    </row>
    <row r="411" spans="1:35" ht="15" hidden="1" customHeight="1">
      <c r="A411" s="30">
        <f t="shared" ca="1" si="9"/>
        <v>0</v>
      </c>
      <c r="C411" s="63">
        <v>3012</v>
      </c>
      <c r="D411" s="30" t="s">
        <v>249</v>
      </c>
      <c r="E411" s="30">
        <f>'eoy24'!J609</f>
        <v>0</v>
      </c>
      <c r="G411" s="61"/>
      <c r="W411" s="1"/>
      <c r="X411" s="1"/>
      <c r="Y411" s="1"/>
      <c r="Z411" s="1"/>
      <c r="AA411" s="1"/>
      <c r="AB411" s="1"/>
      <c r="AC411" s="1"/>
      <c r="AD411" s="1"/>
      <c r="AE411" s="1"/>
      <c r="AF411" s="1"/>
      <c r="AG411" s="1"/>
      <c r="AH411" s="113"/>
      <c r="AI411" s="3"/>
    </row>
    <row r="412" spans="1:35" ht="15" hidden="1" customHeight="1">
      <c r="A412" s="30">
        <f t="shared" ca="1" si="9"/>
        <v>0</v>
      </c>
      <c r="C412" s="63">
        <v>3014</v>
      </c>
      <c r="D412" s="30" t="s">
        <v>250</v>
      </c>
      <c r="E412" s="30">
        <f>'eoy24'!J610</f>
        <v>0</v>
      </c>
      <c r="G412" s="61"/>
      <c r="W412" s="1"/>
      <c r="X412" s="1"/>
      <c r="Y412" s="1"/>
      <c r="Z412" s="1"/>
      <c r="AA412" s="1"/>
      <c r="AB412" s="1"/>
      <c r="AC412" s="1"/>
      <c r="AD412" s="1"/>
      <c r="AE412" s="1"/>
      <c r="AF412" s="1"/>
      <c r="AG412" s="1"/>
      <c r="AH412" s="113"/>
      <c r="AI412" s="3"/>
    </row>
    <row r="413" spans="1:35" ht="15" hidden="1" customHeight="1">
      <c r="A413" s="30">
        <f t="shared" ca="1" si="9"/>
        <v>0</v>
      </c>
      <c r="C413" s="63">
        <v>3022</v>
      </c>
      <c r="D413" s="30" t="s">
        <v>251</v>
      </c>
      <c r="E413" s="30">
        <f>'eoy24'!J611</f>
        <v>0</v>
      </c>
      <c r="G413" s="61"/>
      <c r="W413" s="1"/>
      <c r="X413" s="1"/>
      <c r="Y413" s="1"/>
      <c r="Z413" s="1"/>
      <c r="AA413" s="1"/>
      <c r="AB413" s="1"/>
      <c r="AC413" s="1"/>
      <c r="AD413" s="1"/>
      <c r="AE413" s="1"/>
      <c r="AF413" s="1"/>
      <c r="AG413" s="1"/>
      <c r="AH413" s="113"/>
      <c r="AI413" s="3"/>
    </row>
    <row r="414" spans="1:35" ht="15" hidden="1" customHeight="1">
      <c r="A414" s="30">
        <f t="shared" ca="1" si="9"/>
        <v>0</v>
      </c>
      <c r="C414" s="63">
        <v>3024</v>
      </c>
      <c r="D414" s="30" t="s">
        <v>252</v>
      </c>
      <c r="E414" s="30">
        <f>'eoy24'!J612</f>
        <v>0</v>
      </c>
      <c r="G414" s="61"/>
      <c r="W414" s="1"/>
      <c r="X414" s="1"/>
      <c r="Y414" s="1"/>
      <c r="Z414" s="1"/>
      <c r="AA414" s="1"/>
      <c r="AB414" s="1"/>
      <c r="AC414" s="1"/>
      <c r="AD414" s="1"/>
      <c r="AE414" s="1"/>
      <c r="AF414" s="1"/>
      <c r="AG414" s="1"/>
      <c r="AH414" s="113"/>
      <c r="AI414" s="3"/>
    </row>
    <row r="415" spans="1:35" ht="15" hidden="1" customHeight="1">
      <c r="A415" s="30">
        <f t="shared" ca="1" si="9"/>
        <v>0</v>
      </c>
      <c r="C415" s="63">
        <v>3026</v>
      </c>
      <c r="D415" s="30" t="s">
        <v>158</v>
      </c>
      <c r="E415" s="30">
        <f>'eoy24'!J613</f>
        <v>0</v>
      </c>
      <c r="G415" s="61"/>
      <c r="W415" s="1"/>
      <c r="X415" s="1"/>
      <c r="Y415" s="1"/>
      <c r="Z415" s="1"/>
      <c r="AA415" s="1"/>
      <c r="AB415" s="1"/>
      <c r="AC415" s="1"/>
      <c r="AD415" s="1"/>
      <c r="AE415" s="1"/>
      <c r="AF415" s="1"/>
      <c r="AG415" s="1"/>
      <c r="AH415" s="113"/>
      <c r="AI415" s="3"/>
    </row>
    <row r="416" spans="1:35" ht="15" hidden="1" customHeight="1">
      <c r="A416" s="30">
        <f t="shared" ca="1" si="9"/>
        <v>0</v>
      </c>
      <c r="C416" s="63">
        <v>3028</v>
      </c>
      <c r="D416" s="30" t="s">
        <v>159</v>
      </c>
      <c r="E416" s="30">
        <f>'eoy24'!J614</f>
        <v>0</v>
      </c>
      <c r="G416" s="61"/>
      <c r="W416" s="1"/>
      <c r="X416" s="1"/>
      <c r="Y416" s="1"/>
      <c r="Z416" s="1"/>
      <c r="AA416" s="1"/>
      <c r="AB416" s="1"/>
      <c r="AC416" s="1"/>
      <c r="AD416" s="1"/>
      <c r="AE416" s="1"/>
      <c r="AF416" s="1"/>
      <c r="AG416" s="1"/>
      <c r="AH416" s="113"/>
      <c r="AI416" s="3"/>
    </row>
    <row r="417" spans="1:35" ht="15" hidden="1" customHeight="1">
      <c r="A417" s="30">
        <f t="shared" ca="1" si="9"/>
        <v>0</v>
      </c>
      <c r="C417" s="63">
        <v>3030</v>
      </c>
      <c r="D417" s="30" t="s">
        <v>253</v>
      </c>
      <c r="E417" s="30">
        <f>'eoy24'!J615</f>
        <v>0</v>
      </c>
      <c r="G417" s="61"/>
      <c r="W417" s="1"/>
      <c r="X417" s="1"/>
      <c r="Y417" s="1"/>
      <c r="Z417" s="1"/>
      <c r="AA417" s="1"/>
      <c r="AB417" s="1"/>
      <c r="AC417" s="1"/>
      <c r="AD417" s="1"/>
      <c r="AE417" s="1"/>
      <c r="AF417" s="1"/>
      <c r="AG417" s="1"/>
      <c r="AH417" s="113"/>
      <c r="AI417" s="3"/>
    </row>
    <row r="418" spans="1:35" ht="15" hidden="1" customHeight="1">
      <c r="A418" s="30">
        <f t="shared" ca="1" si="9"/>
        <v>0</v>
      </c>
      <c r="C418" s="63">
        <v>3042</v>
      </c>
      <c r="D418" s="30" t="s">
        <v>254</v>
      </c>
      <c r="E418" s="30">
        <f>'eoy24'!J616</f>
        <v>0</v>
      </c>
      <c r="G418" s="61"/>
      <c r="W418" s="1"/>
      <c r="X418" s="1"/>
      <c r="Y418" s="1"/>
      <c r="Z418" s="1"/>
      <c r="AA418" s="1"/>
      <c r="AB418" s="1"/>
      <c r="AC418" s="1"/>
      <c r="AD418" s="1"/>
      <c r="AE418" s="1"/>
      <c r="AF418" s="1"/>
      <c r="AG418" s="1"/>
      <c r="AH418" s="113"/>
      <c r="AI418" s="3"/>
    </row>
    <row r="419" spans="1:35" ht="15" hidden="1" customHeight="1">
      <c r="A419" s="30">
        <f t="shared" ref="A419:A433" ca="1" si="10">IF(AND(A$434&gt;0,E419&gt;0),1,0)</f>
        <v>0</v>
      </c>
      <c r="C419" s="63">
        <v>3044</v>
      </c>
      <c r="D419" s="30" t="s">
        <v>255</v>
      </c>
      <c r="E419" s="30">
        <f>'eoy24'!J617</f>
        <v>0</v>
      </c>
      <c r="G419" s="61"/>
      <c r="W419" s="1"/>
      <c r="X419" s="1"/>
      <c r="Y419" s="1"/>
      <c r="Z419" s="1"/>
      <c r="AA419" s="1"/>
      <c r="AB419" s="1"/>
      <c r="AC419" s="1"/>
      <c r="AD419" s="1"/>
      <c r="AE419" s="1"/>
      <c r="AF419" s="1"/>
      <c r="AG419" s="1"/>
      <c r="AH419" s="113"/>
      <c r="AI419" s="3"/>
    </row>
    <row r="420" spans="1:35" ht="15" hidden="1" customHeight="1">
      <c r="A420" s="30">
        <f t="shared" ca="1" si="10"/>
        <v>0</v>
      </c>
      <c r="C420" s="63">
        <v>3046</v>
      </c>
      <c r="D420" s="30" t="s">
        <v>256</v>
      </c>
      <c r="E420" s="30">
        <f>'eoy24'!J618</f>
        <v>0</v>
      </c>
      <c r="G420" s="61"/>
    </row>
    <row r="421" spans="1:35" ht="15" hidden="1" customHeight="1">
      <c r="A421" s="30">
        <f t="shared" ca="1" si="10"/>
        <v>0</v>
      </c>
      <c r="C421" s="63">
        <v>3048</v>
      </c>
      <c r="D421" s="30" t="s">
        <v>257</v>
      </c>
      <c r="E421" s="30">
        <f>'eoy24'!J619</f>
        <v>0</v>
      </c>
      <c r="G421" s="61"/>
    </row>
    <row r="422" spans="1:35" ht="15" hidden="1" customHeight="1">
      <c r="A422" s="30">
        <f t="shared" ca="1" si="10"/>
        <v>0</v>
      </c>
      <c r="C422" s="63">
        <v>3052</v>
      </c>
      <c r="D422" s="30" t="s">
        <v>165</v>
      </c>
      <c r="E422" s="30">
        <f>'eoy24'!J620</f>
        <v>0</v>
      </c>
      <c r="G422" s="61"/>
    </row>
    <row r="423" spans="1:35" ht="15" hidden="1" customHeight="1">
      <c r="A423" s="30">
        <f t="shared" ca="1" si="10"/>
        <v>0</v>
      </c>
      <c r="C423" s="63">
        <v>3054</v>
      </c>
      <c r="D423" s="30" t="s">
        <v>166</v>
      </c>
      <c r="E423" s="30">
        <f>'eoy24'!J621</f>
        <v>0</v>
      </c>
      <c r="G423" s="61"/>
    </row>
    <row r="424" spans="1:35" ht="15" hidden="1" customHeight="1">
      <c r="A424" s="30">
        <f t="shared" ca="1" si="10"/>
        <v>0</v>
      </c>
      <c r="C424" s="63">
        <v>3056</v>
      </c>
      <c r="D424" s="30" t="s">
        <v>167</v>
      </c>
      <c r="E424" s="30">
        <f>'eoy24'!J622</f>
        <v>0</v>
      </c>
      <c r="G424" s="61"/>
    </row>
    <row r="425" spans="1:35" ht="15" hidden="1" customHeight="1">
      <c r="A425" s="30">
        <f t="shared" ca="1" si="10"/>
        <v>0</v>
      </c>
      <c r="C425" s="63">
        <v>3058</v>
      </c>
      <c r="D425" s="30" t="s">
        <v>168</v>
      </c>
      <c r="E425" s="30">
        <f>'eoy24'!J623</f>
        <v>0</v>
      </c>
      <c r="G425" s="61"/>
    </row>
    <row r="426" spans="1:35" ht="15" hidden="1" customHeight="1">
      <c r="A426" s="30">
        <f t="shared" ca="1" si="10"/>
        <v>0</v>
      </c>
      <c r="C426" s="63">
        <v>3062</v>
      </c>
      <c r="D426" s="30" t="s">
        <v>170</v>
      </c>
      <c r="E426" s="30">
        <f>'eoy24'!J624</f>
        <v>0</v>
      </c>
      <c r="G426" s="61"/>
    </row>
    <row r="427" spans="1:35" ht="15" hidden="1" customHeight="1">
      <c r="A427" s="30">
        <f t="shared" ca="1" si="10"/>
        <v>0</v>
      </c>
      <c r="C427" s="63">
        <v>3064</v>
      </c>
      <c r="D427" s="30" t="s">
        <v>171</v>
      </c>
      <c r="E427" s="30">
        <f>'eoy24'!J625</f>
        <v>0</v>
      </c>
      <c r="G427" s="61"/>
    </row>
    <row r="428" spans="1:35" ht="15" hidden="1" customHeight="1">
      <c r="A428" s="30">
        <f t="shared" ca="1" si="10"/>
        <v>0</v>
      </c>
      <c r="C428" s="63">
        <v>3066</v>
      </c>
      <c r="D428" s="30" t="s">
        <v>172</v>
      </c>
      <c r="E428" s="30">
        <f>'eoy24'!J626</f>
        <v>0</v>
      </c>
      <c r="G428" s="61"/>
    </row>
    <row r="429" spans="1:35" ht="15" hidden="1" customHeight="1">
      <c r="A429" s="30">
        <f t="shared" ca="1" si="10"/>
        <v>0</v>
      </c>
      <c r="C429" s="63">
        <v>3072</v>
      </c>
      <c r="D429" s="30" t="s">
        <v>174</v>
      </c>
      <c r="E429" s="30">
        <f>'eoy24'!J627</f>
        <v>0</v>
      </c>
      <c r="G429" s="61"/>
    </row>
    <row r="430" spans="1:35" ht="15" hidden="1" customHeight="1">
      <c r="A430" s="30">
        <f t="shared" ca="1" si="10"/>
        <v>0</v>
      </c>
      <c r="C430" s="63">
        <v>3075</v>
      </c>
      <c r="D430" s="30" t="s">
        <v>177</v>
      </c>
      <c r="E430" s="30">
        <f>'eoy24'!J628</f>
        <v>0</v>
      </c>
      <c r="G430" s="61"/>
    </row>
    <row r="431" spans="1:35" ht="15" hidden="1" customHeight="1">
      <c r="A431" s="30">
        <f t="shared" ca="1" si="10"/>
        <v>0</v>
      </c>
      <c r="C431" s="63">
        <v>3076</v>
      </c>
      <c r="D431" s="30" t="s">
        <v>179</v>
      </c>
      <c r="E431" s="30">
        <f>'eoy24'!J629</f>
        <v>0</v>
      </c>
      <c r="G431" s="61"/>
    </row>
    <row r="432" spans="1:35" ht="15" hidden="1" customHeight="1">
      <c r="A432" s="30">
        <f t="shared" ca="1" si="10"/>
        <v>0</v>
      </c>
      <c r="C432" s="63">
        <v>3077</v>
      </c>
      <c r="D432" s="30" t="s">
        <v>180</v>
      </c>
      <c r="E432" s="30">
        <f>'eoy24'!J630</f>
        <v>0</v>
      </c>
    </row>
    <row r="433" spans="1:9" ht="15" hidden="1" customHeight="1">
      <c r="A433" s="30">
        <f t="shared" ca="1" si="10"/>
        <v>0</v>
      </c>
      <c r="C433" s="63">
        <v>3078</v>
      </c>
      <c r="D433" s="30" t="s">
        <v>181</v>
      </c>
      <c r="E433" s="30">
        <f>'eoy24'!J631</f>
        <v>0</v>
      </c>
    </row>
    <row r="434" spans="1:9" ht="15" hidden="1" customHeight="1">
      <c r="A434" s="120">
        <f ca="1">IF(OR(AND(E434&gt;0,I434=0),AND(E434=0,I434&gt;0)),1,0)</f>
        <v>0</v>
      </c>
      <c r="B434" s="120"/>
      <c r="C434" s="119" t="s">
        <v>899</v>
      </c>
      <c r="D434" s="120" t="s">
        <v>900</v>
      </c>
      <c r="E434" s="120">
        <f ca="1">'eoy24'!J632</f>
        <v>0</v>
      </c>
      <c r="F434" s="120"/>
      <c r="G434" s="527">
        <v>590</v>
      </c>
      <c r="H434" s="527" t="s">
        <v>901</v>
      </c>
      <c r="I434" s="120">
        <f>'eoy24'!J43</f>
        <v>0</v>
      </c>
    </row>
    <row r="435" spans="1:9" ht="32.25" hidden="1" customHeight="1">
      <c r="A435" s="30">
        <f>IF(A$520=1,1,0)</f>
        <v>0</v>
      </c>
      <c r="C435" s="702" t="s">
        <v>916</v>
      </c>
      <c r="D435" s="527"/>
      <c r="E435" s="527"/>
      <c r="F435" s="527"/>
      <c r="G435" s="216" t="s">
        <v>917</v>
      </c>
      <c r="H435" s="527"/>
      <c r="I435" s="527"/>
    </row>
    <row r="436" spans="1:9" ht="32.25" hidden="1" customHeight="1">
      <c r="A436" s="30">
        <f>IF(A$520=1,1,0)</f>
        <v>0</v>
      </c>
      <c r="B436" s="72"/>
      <c r="C436" s="122" t="s">
        <v>918</v>
      </c>
      <c r="D436" s="704"/>
      <c r="E436" s="704"/>
      <c r="F436" s="215"/>
      <c r="G436" s="706" t="s">
        <v>919</v>
      </c>
      <c r="H436" s="704"/>
      <c r="I436" s="704"/>
    </row>
    <row r="437" spans="1:9" ht="32.25" hidden="1" customHeight="1">
      <c r="A437" s="30">
        <f>IF(A$520=1,1,0)</f>
        <v>0</v>
      </c>
      <c r="B437" s="72"/>
      <c r="C437" s="703" t="s">
        <v>38</v>
      </c>
      <c r="D437" s="704" t="s">
        <v>895</v>
      </c>
      <c r="E437" s="704" t="s">
        <v>864</v>
      </c>
      <c r="F437" s="215"/>
      <c r="G437" s="704" t="s">
        <v>38</v>
      </c>
      <c r="H437" s="704" t="s">
        <v>863</v>
      </c>
      <c r="I437" s="704" t="s">
        <v>864</v>
      </c>
    </row>
    <row r="438" spans="1:9" ht="15" hidden="1" customHeight="1">
      <c r="A438" s="30">
        <f>IF(AND(A$520&gt;0,E438&gt;0),1,0)</f>
        <v>0</v>
      </c>
      <c r="B438" s="72"/>
      <c r="C438" s="63">
        <v>2801</v>
      </c>
      <c r="D438" s="30" t="s">
        <v>83</v>
      </c>
      <c r="E438" s="30">
        <f>'eoy24'!K547</f>
        <v>0</v>
      </c>
      <c r="F438" s="215"/>
      <c r="G438" s="704"/>
      <c r="H438" s="704"/>
      <c r="I438" s="704"/>
    </row>
    <row r="439" spans="1:9" ht="15" hidden="1" customHeight="1">
      <c r="A439" s="30">
        <f t="shared" ref="A439:A504" si="11">IF(AND(A$520&gt;0,E439&gt;0),1,0)</f>
        <v>0</v>
      </c>
      <c r="B439" s="72"/>
      <c r="C439" s="63">
        <v>2802</v>
      </c>
      <c r="D439" s="30" t="s">
        <v>90</v>
      </c>
      <c r="E439" s="30">
        <f>'eoy24'!K548</f>
        <v>0</v>
      </c>
      <c r="F439" s="215"/>
      <c r="G439" s="704"/>
      <c r="H439" s="704"/>
      <c r="I439" s="704"/>
    </row>
    <row r="440" spans="1:9" ht="15" hidden="1" customHeight="1">
      <c r="A440" s="30">
        <f t="shared" si="11"/>
        <v>0</v>
      </c>
      <c r="B440" s="72"/>
      <c r="C440" s="63">
        <v>2803</v>
      </c>
      <c r="D440" s="30" t="s">
        <v>92</v>
      </c>
      <c r="E440" s="30">
        <f>'eoy24'!K549</f>
        <v>0</v>
      </c>
      <c r="F440" s="215"/>
      <c r="G440" s="704"/>
      <c r="H440" s="704"/>
      <c r="I440" s="704"/>
    </row>
    <row r="441" spans="1:9" ht="15" hidden="1" customHeight="1">
      <c r="A441" s="30">
        <f t="shared" si="11"/>
        <v>0</v>
      </c>
      <c r="B441" s="72"/>
      <c r="C441" s="63">
        <v>2804</v>
      </c>
      <c r="D441" s="30" t="s">
        <v>93</v>
      </c>
      <c r="E441" s="30">
        <f>'eoy24'!K550</f>
        <v>0</v>
      </c>
      <c r="F441" s="215"/>
      <c r="G441" s="704"/>
      <c r="H441" s="704"/>
      <c r="I441" s="704"/>
    </row>
    <row r="442" spans="1:9" ht="15" hidden="1" customHeight="1">
      <c r="A442" s="30">
        <f t="shared" si="11"/>
        <v>0</v>
      </c>
      <c r="B442" s="72"/>
      <c r="C442" s="63">
        <v>2805</v>
      </c>
      <c r="D442" s="30" t="s">
        <v>94</v>
      </c>
      <c r="E442" s="30">
        <f>'eoy24'!K551</f>
        <v>0</v>
      </c>
      <c r="F442" s="215"/>
      <c r="G442" s="704"/>
      <c r="H442" s="704"/>
      <c r="I442" s="704"/>
    </row>
    <row r="443" spans="1:9" ht="15" hidden="1" customHeight="1">
      <c r="A443" s="30">
        <f t="shared" si="11"/>
        <v>0</v>
      </c>
      <c r="B443" s="72"/>
      <c r="C443" s="63">
        <v>2806</v>
      </c>
      <c r="D443" s="30" t="s">
        <v>95</v>
      </c>
      <c r="E443" s="30">
        <f>'eoy24'!K552</f>
        <v>0</v>
      </c>
      <c r="F443" s="215"/>
      <c r="G443" s="704"/>
      <c r="H443" s="704"/>
      <c r="I443" s="704"/>
    </row>
    <row r="444" spans="1:9" ht="15" hidden="1" customHeight="1">
      <c r="A444" s="30">
        <f t="shared" si="11"/>
        <v>0</v>
      </c>
      <c r="B444" s="72"/>
      <c r="C444" s="63">
        <v>2807</v>
      </c>
      <c r="D444" s="30" t="s">
        <v>236</v>
      </c>
      <c r="E444" s="30">
        <f>'eoy24'!K553</f>
        <v>0</v>
      </c>
      <c r="F444" s="215"/>
      <c r="G444" s="704"/>
      <c r="H444" s="704"/>
      <c r="I444" s="704"/>
    </row>
    <row r="445" spans="1:9" ht="15" hidden="1" customHeight="1">
      <c r="A445" s="30">
        <f t="shared" si="11"/>
        <v>0</v>
      </c>
      <c r="B445" s="72"/>
      <c r="C445" s="63">
        <v>2808</v>
      </c>
      <c r="D445" s="30" t="s">
        <v>97</v>
      </c>
      <c r="E445" s="30">
        <f>'eoy24'!K554</f>
        <v>0</v>
      </c>
      <c r="F445" s="215"/>
      <c r="G445" s="704"/>
      <c r="H445" s="704"/>
      <c r="I445" s="704"/>
    </row>
    <row r="446" spans="1:9" ht="15" hidden="1" customHeight="1">
      <c r="A446" s="30">
        <f t="shared" si="11"/>
        <v>0</v>
      </c>
      <c r="B446" s="72"/>
      <c r="C446" s="63">
        <v>2809</v>
      </c>
      <c r="D446" s="30" t="s">
        <v>910</v>
      </c>
      <c r="E446" s="30">
        <f>'eoy24'!K555</f>
        <v>0</v>
      </c>
      <c r="F446" s="215"/>
      <c r="G446" s="704"/>
      <c r="H446" s="704"/>
      <c r="I446" s="704"/>
    </row>
    <row r="447" spans="1:9" ht="15" hidden="1" customHeight="1">
      <c r="A447" s="30">
        <f t="shared" ca="1" si="11"/>
        <v>0</v>
      </c>
      <c r="B447" s="72"/>
      <c r="C447" s="63">
        <v>2810</v>
      </c>
      <c r="D447" s="30" t="s">
        <v>238</v>
      </c>
      <c r="E447" s="30">
        <f ca="1">'eoy24'!K557</f>
        <v>0</v>
      </c>
      <c r="F447" s="215"/>
      <c r="G447" s="704"/>
      <c r="H447" s="704"/>
      <c r="I447" s="704"/>
    </row>
    <row r="448" spans="1:9" ht="15" hidden="1" customHeight="1">
      <c r="A448" s="30">
        <f t="shared" ca="1" si="11"/>
        <v>0</v>
      </c>
      <c r="B448" s="72"/>
      <c r="C448" s="63">
        <v>2811</v>
      </c>
      <c r="D448" s="30" t="s">
        <v>239</v>
      </c>
      <c r="E448" s="30">
        <f ca="1">'eoy24'!K558</f>
        <v>0</v>
      </c>
      <c r="F448" s="215"/>
      <c r="G448" s="704"/>
      <c r="H448" s="704"/>
      <c r="I448" s="704"/>
    </row>
    <row r="449" spans="1:9" ht="15" hidden="1" customHeight="1">
      <c r="A449" s="30">
        <f t="shared" ca="1" si="11"/>
        <v>0</v>
      </c>
      <c r="B449" s="72"/>
      <c r="C449" s="63">
        <v>2812</v>
      </c>
      <c r="D449" s="30" t="s">
        <v>102</v>
      </c>
      <c r="E449" s="30">
        <f ca="1">'eoy24'!K559</f>
        <v>0</v>
      </c>
      <c r="F449" s="215"/>
      <c r="G449" s="704"/>
      <c r="H449" s="704"/>
      <c r="I449" s="704"/>
    </row>
    <row r="450" spans="1:9" ht="15" hidden="1" customHeight="1">
      <c r="A450" s="30">
        <f t="shared" ca="1" si="11"/>
        <v>0</v>
      </c>
      <c r="B450" s="72"/>
      <c r="C450" s="63">
        <v>2814</v>
      </c>
      <c r="D450" s="30" t="s">
        <v>103</v>
      </c>
      <c r="E450" s="30">
        <f ca="1">'eoy24'!K560</f>
        <v>0</v>
      </c>
      <c r="F450" s="215"/>
      <c r="G450" s="704"/>
      <c r="H450" s="704"/>
      <c r="I450" s="704"/>
    </row>
    <row r="451" spans="1:9" ht="15" hidden="1" customHeight="1">
      <c r="A451" s="30">
        <f t="shared" ca="1" si="11"/>
        <v>0</v>
      </c>
      <c r="B451" s="72"/>
      <c r="C451" s="63">
        <v>2815</v>
      </c>
      <c r="D451" s="30" t="s">
        <v>911</v>
      </c>
      <c r="E451" s="30">
        <f ca="1">'eoy24'!K561</f>
        <v>0</v>
      </c>
      <c r="F451" s="215"/>
      <c r="G451" s="704"/>
      <c r="H451" s="704"/>
      <c r="I451" s="704"/>
    </row>
    <row r="452" spans="1:9" ht="15" hidden="1" customHeight="1">
      <c r="A452" s="30">
        <f t="shared" ca="1" si="11"/>
        <v>0</v>
      </c>
      <c r="B452" s="72"/>
      <c r="C452" s="63">
        <v>2816</v>
      </c>
      <c r="D452" s="30" t="s">
        <v>105</v>
      </c>
      <c r="E452" s="30">
        <f ca="1">'eoy24'!K562</f>
        <v>0</v>
      </c>
      <c r="F452" s="215"/>
      <c r="G452" s="704"/>
      <c r="H452" s="704"/>
      <c r="I452" s="704"/>
    </row>
    <row r="453" spans="1:9" ht="15" hidden="1" customHeight="1">
      <c r="A453" s="30">
        <f t="shared" ca="1" si="11"/>
        <v>0</v>
      </c>
      <c r="B453" s="72"/>
      <c r="C453" s="63">
        <v>2817</v>
      </c>
      <c r="D453" s="30" t="s">
        <v>241</v>
      </c>
      <c r="E453" s="30">
        <f ca="1">'eoy24'!K563</f>
        <v>0</v>
      </c>
      <c r="F453" s="215"/>
      <c r="G453" s="704"/>
      <c r="H453" s="704"/>
      <c r="I453" s="704"/>
    </row>
    <row r="454" spans="1:9" ht="15" hidden="1" customHeight="1">
      <c r="A454" s="30">
        <f t="shared" ca="1" si="11"/>
        <v>0</v>
      </c>
      <c r="B454" s="72"/>
      <c r="C454" s="63">
        <v>2818</v>
      </c>
      <c r="D454" s="30" t="s">
        <v>108</v>
      </c>
      <c r="E454" s="30">
        <f ca="1">'eoy24'!K564</f>
        <v>0</v>
      </c>
      <c r="F454" s="215"/>
      <c r="G454" s="704"/>
      <c r="H454" s="704"/>
      <c r="I454" s="704"/>
    </row>
    <row r="455" spans="1:9" ht="15" hidden="1" customHeight="1">
      <c r="A455" s="30">
        <f t="shared" ca="1" si="11"/>
        <v>0</v>
      </c>
      <c r="B455" s="72"/>
      <c r="C455" s="63">
        <v>2819</v>
      </c>
      <c r="D455" s="30" t="s">
        <v>109</v>
      </c>
      <c r="E455" s="30">
        <f ca="1">'eoy24'!K565</f>
        <v>0</v>
      </c>
      <c r="F455" s="215"/>
      <c r="G455" s="704"/>
      <c r="H455" s="704"/>
      <c r="I455" s="704"/>
    </row>
    <row r="456" spans="1:9" ht="15" hidden="1" customHeight="1">
      <c r="A456" s="30">
        <f t="shared" ca="1" si="11"/>
        <v>0</v>
      </c>
      <c r="B456" s="72"/>
      <c r="C456" s="63">
        <v>2820</v>
      </c>
      <c r="D456" s="30" t="s">
        <v>242</v>
      </c>
      <c r="E456" s="30">
        <f ca="1">'eoy24'!K566</f>
        <v>0</v>
      </c>
      <c r="F456" s="215"/>
      <c r="G456" s="704"/>
      <c r="H456" s="704"/>
      <c r="I456" s="704"/>
    </row>
    <row r="457" spans="1:9" ht="15" hidden="1" customHeight="1">
      <c r="A457" s="30">
        <f t="shared" ca="1" si="11"/>
        <v>0</v>
      </c>
      <c r="B457" s="72"/>
      <c r="C457" s="63">
        <v>2821</v>
      </c>
      <c r="D457" s="30" t="s">
        <v>111</v>
      </c>
      <c r="E457" s="30">
        <f ca="1">'eoy24'!K567</f>
        <v>0</v>
      </c>
      <c r="F457" s="215"/>
      <c r="G457" s="704"/>
      <c r="H457" s="704"/>
      <c r="I457" s="704"/>
    </row>
    <row r="458" spans="1:9" ht="15" hidden="1" customHeight="1">
      <c r="A458" s="30">
        <f t="shared" ca="1" si="11"/>
        <v>0</v>
      </c>
      <c r="B458" s="72"/>
      <c r="C458" s="63">
        <v>2822</v>
      </c>
      <c r="D458" s="30" t="s">
        <v>896</v>
      </c>
      <c r="E458" s="30">
        <f ca="1">'eoy24'!K568</f>
        <v>0</v>
      </c>
      <c r="F458" s="215"/>
      <c r="G458" s="704"/>
      <c r="H458" s="704"/>
      <c r="I458" s="704"/>
    </row>
    <row r="459" spans="1:9" ht="15" hidden="1" customHeight="1">
      <c r="A459" s="30">
        <f t="shared" ca="1" si="11"/>
        <v>0</v>
      </c>
      <c r="B459" s="72"/>
      <c r="C459" s="63">
        <v>2823</v>
      </c>
      <c r="D459" s="30" t="s">
        <v>113</v>
      </c>
      <c r="E459" s="30">
        <f ca="1">'eoy24'!K569</f>
        <v>0</v>
      </c>
      <c r="F459" s="215"/>
      <c r="G459" s="704"/>
      <c r="H459" s="704"/>
      <c r="I459" s="704"/>
    </row>
    <row r="460" spans="1:9" ht="15" hidden="1" customHeight="1">
      <c r="A460" s="30">
        <f t="shared" ca="1" si="11"/>
        <v>0</v>
      </c>
      <c r="B460" s="72"/>
      <c r="C460" s="63">
        <v>2824</v>
      </c>
      <c r="D460" s="30" t="s">
        <v>114</v>
      </c>
      <c r="E460" s="30">
        <f ca="1">'eoy24'!K570</f>
        <v>0</v>
      </c>
      <c r="F460" s="215"/>
      <c r="G460" s="704"/>
      <c r="H460" s="704"/>
      <c r="I460" s="704"/>
    </row>
    <row r="461" spans="1:9" ht="15" hidden="1" customHeight="1">
      <c r="A461" s="30">
        <f t="shared" ca="1" si="11"/>
        <v>0</v>
      </c>
      <c r="B461" s="72"/>
      <c r="C461" s="63">
        <v>2825</v>
      </c>
      <c r="D461" s="30" t="s">
        <v>115</v>
      </c>
      <c r="E461" s="30">
        <f ca="1">'eoy24'!K571</f>
        <v>0</v>
      </c>
      <c r="F461" s="215"/>
      <c r="G461" s="704"/>
      <c r="H461" s="704"/>
      <c r="I461" s="704"/>
    </row>
    <row r="462" spans="1:9" ht="15" hidden="1" customHeight="1">
      <c r="A462" s="30">
        <f t="shared" ca="1" si="11"/>
        <v>0</v>
      </c>
      <c r="B462" s="72"/>
      <c r="C462" s="63">
        <v>2826</v>
      </c>
      <c r="D462" s="30" t="s">
        <v>243</v>
      </c>
      <c r="E462" s="30">
        <f ca="1">'eoy24'!K572</f>
        <v>0</v>
      </c>
      <c r="F462" s="215"/>
      <c r="G462" s="704"/>
      <c r="H462" s="704"/>
      <c r="I462" s="704"/>
    </row>
    <row r="463" spans="1:9" ht="15" hidden="1" customHeight="1">
      <c r="A463" s="30">
        <f t="shared" ca="1" si="11"/>
        <v>0</v>
      </c>
      <c r="B463" s="72"/>
      <c r="C463" s="63">
        <v>2827</v>
      </c>
      <c r="D463" s="30" t="s">
        <v>117</v>
      </c>
      <c r="E463" s="30">
        <f ca="1">'eoy24'!K573</f>
        <v>0</v>
      </c>
      <c r="F463" s="215"/>
      <c r="G463" s="704"/>
      <c r="H463" s="704"/>
      <c r="I463" s="704"/>
    </row>
    <row r="464" spans="1:9" ht="15" hidden="1" customHeight="1">
      <c r="A464" s="30">
        <f t="shared" ca="1" si="11"/>
        <v>0</v>
      </c>
      <c r="B464" s="72"/>
      <c r="C464" s="63">
        <v>2828</v>
      </c>
      <c r="D464" s="30" t="s">
        <v>118</v>
      </c>
      <c r="E464" s="30">
        <f ca="1">'eoy24'!K574</f>
        <v>0</v>
      </c>
      <c r="F464" s="215"/>
      <c r="G464" s="704"/>
      <c r="H464" s="704"/>
      <c r="I464" s="704"/>
    </row>
    <row r="465" spans="1:9" ht="15" hidden="1" customHeight="1">
      <c r="A465" s="30">
        <f t="shared" si="11"/>
        <v>0</v>
      </c>
      <c r="B465" s="72"/>
      <c r="C465" s="63">
        <v>2829</v>
      </c>
      <c r="D465" s="30" t="s">
        <v>119</v>
      </c>
      <c r="E465" s="30">
        <f>'eoy24'!K575</f>
        <v>0</v>
      </c>
      <c r="F465" s="215"/>
      <c r="G465" s="704"/>
      <c r="H465" s="704"/>
      <c r="I465" s="704"/>
    </row>
    <row r="466" spans="1:9" ht="15" hidden="1" customHeight="1">
      <c r="A466" s="30">
        <f t="shared" si="11"/>
        <v>0</v>
      </c>
      <c r="B466" s="72"/>
      <c r="C466" s="63">
        <v>2830</v>
      </c>
      <c r="D466" s="30" t="s">
        <v>120</v>
      </c>
      <c r="E466" s="30">
        <f>'eoy24'!K576</f>
        <v>0</v>
      </c>
      <c r="F466" s="215"/>
      <c r="G466" s="704"/>
      <c r="H466" s="704"/>
      <c r="I466" s="704"/>
    </row>
    <row r="467" spans="1:9" ht="15" hidden="1" customHeight="1">
      <c r="A467" s="30">
        <f t="shared" ca="1" si="11"/>
        <v>0</v>
      </c>
      <c r="B467" s="72"/>
      <c r="C467" s="63">
        <v>2831</v>
      </c>
      <c r="D467" s="30" t="s">
        <v>121</v>
      </c>
      <c r="E467" s="30">
        <f ca="1">'eoy24'!K577</f>
        <v>0</v>
      </c>
      <c r="F467" s="215"/>
      <c r="G467" s="704"/>
      <c r="H467" s="704"/>
      <c r="I467" s="704"/>
    </row>
    <row r="468" spans="1:9" ht="15" hidden="1" customHeight="1">
      <c r="A468" s="30">
        <f t="shared" ca="1" si="11"/>
        <v>0</v>
      </c>
      <c r="B468" s="72"/>
      <c r="C468" s="63">
        <v>2832</v>
      </c>
      <c r="D468" s="30" t="s">
        <v>122</v>
      </c>
      <c r="E468" s="30">
        <f ca="1">'eoy24'!K578</f>
        <v>0</v>
      </c>
      <c r="F468" s="215"/>
      <c r="G468" s="704"/>
      <c r="H468" s="704"/>
      <c r="I468" s="704"/>
    </row>
    <row r="469" spans="1:9" ht="15" hidden="1" customHeight="1">
      <c r="A469" s="30">
        <f t="shared" ca="1" si="11"/>
        <v>0</v>
      </c>
      <c r="B469" s="72"/>
      <c r="C469" s="63">
        <v>2833</v>
      </c>
      <c r="D469" s="30" t="s">
        <v>123</v>
      </c>
      <c r="E469" s="30">
        <f ca="1">'eoy24'!K579</f>
        <v>0</v>
      </c>
      <c r="F469" s="215"/>
      <c r="G469" s="704"/>
      <c r="H469" s="704"/>
      <c r="I469" s="704"/>
    </row>
    <row r="470" spans="1:9" ht="15" hidden="1" customHeight="1">
      <c r="A470" s="30">
        <f t="shared" si="11"/>
        <v>0</v>
      </c>
      <c r="B470" s="72"/>
      <c r="C470" s="63">
        <v>2834</v>
      </c>
      <c r="D470" s="30" t="s">
        <v>124</v>
      </c>
      <c r="E470" s="30">
        <f>'eoy24'!K580</f>
        <v>0</v>
      </c>
      <c r="F470" s="215"/>
      <c r="G470" s="704"/>
      <c r="H470" s="704"/>
      <c r="I470" s="704"/>
    </row>
    <row r="471" spans="1:9" ht="15" hidden="1" customHeight="1">
      <c r="A471" s="30">
        <f t="shared" ca="1" si="11"/>
        <v>0</v>
      </c>
      <c r="B471" s="72"/>
      <c r="C471" s="63">
        <v>2835</v>
      </c>
      <c r="D471" s="30" t="s">
        <v>125</v>
      </c>
      <c r="E471" s="30">
        <f ca="1">'eoy24'!K581</f>
        <v>0</v>
      </c>
      <c r="F471" s="215"/>
      <c r="G471" s="704"/>
      <c r="H471" s="704"/>
      <c r="I471" s="704"/>
    </row>
    <row r="472" spans="1:9" ht="15" hidden="1" customHeight="1">
      <c r="A472" s="30">
        <f t="shared" ca="1" si="11"/>
        <v>0</v>
      </c>
      <c r="B472" s="72"/>
      <c r="C472" s="63">
        <v>2836</v>
      </c>
      <c r="D472" s="30" t="s">
        <v>244</v>
      </c>
      <c r="E472" s="30">
        <f ca="1">'eoy24'!K582</f>
        <v>0</v>
      </c>
      <c r="F472" s="215"/>
      <c r="G472" s="704"/>
      <c r="H472" s="704"/>
      <c r="I472" s="704"/>
    </row>
    <row r="473" spans="1:9" ht="15" hidden="1" customHeight="1">
      <c r="A473" s="30">
        <f t="shared" ca="1" si="11"/>
        <v>0</v>
      </c>
      <c r="B473" s="72"/>
      <c r="C473" s="63">
        <v>2900</v>
      </c>
      <c r="D473" s="30" t="s">
        <v>127</v>
      </c>
      <c r="E473" s="30">
        <f ca="1">'eoy24'!K583</f>
        <v>0</v>
      </c>
      <c r="F473" s="215"/>
      <c r="G473" s="704"/>
      <c r="H473" s="704"/>
      <c r="I473" s="704"/>
    </row>
    <row r="474" spans="1:9" ht="15" hidden="1" customHeight="1">
      <c r="A474" s="30">
        <f t="shared" ca="1" si="11"/>
        <v>0</v>
      </c>
      <c r="B474" s="72"/>
      <c r="C474" s="63">
        <v>2901</v>
      </c>
      <c r="D474" s="30" t="s">
        <v>128</v>
      </c>
      <c r="E474" s="30">
        <f ca="1">'eoy24'!K584</f>
        <v>0</v>
      </c>
      <c r="F474" s="215"/>
      <c r="G474" s="704"/>
      <c r="H474" s="704"/>
      <c r="I474" s="704"/>
    </row>
    <row r="475" spans="1:9" ht="15" hidden="1" customHeight="1">
      <c r="A475" s="30">
        <f t="shared" si="11"/>
        <v>0</v>
      </c>
      <c r="B475" s="72"/>
      <c r="C475" s="63">
        <v>2910</v>
      </c>
      <c r="D475" s="30" t="s">
        <v>129</v>
      </c>
      <c r="E475" s="30">
        <f>'eoy24'!K587</f>
        <v>0</v>
      </c>
      <c r="F475" s="215"/>
      <c r="G475" s="704"/>
      <c r="H475" s="704"/>
      <c r="I475" s="704"/>
    </row>
    <row r="476" spans="1:9" ht="15" hidden="1" customHeight="1">
      <c r="A476" s="30">
        <f t="shared" si="11"/>
        <v>0</v>
      </c>
      <c r="B476" s="72"/>
      <c r="C476" s="63">
        <v>2920</v>
      </c>
      <c r="D476" s="30" t="s">
        <v>130</v>
      </c>
      <c r="E476" s="30">
        <f>'eoy24'!K588</f>
        <v>0</v>
      </c>
      <c r="F476" s="215"/>
      <c r="G476" s="704"/>
      <c r="H476" s="704"/>
      <c r="I476" s="704"/>
    </row>
    <row r="477" spans="1:9" ht="15" hidden="1" customHeight="1">
      <c r="A477" s="30">
        <f t="shared" si="11"/>
        <v>0</v>
      </c>
      <c r="B477" s="72"/>
      <c r="C477" s="63">
        <v>2930</v>
      </c>
      <c r="D477" s="30" t="s">
        <v>131</v>
      </c>
      <c r="E477" s="30">
        <f>'eoy24'!K589</f>
        <v>0</v>
      </c>
      <c r="F477" s="215"/>
      <c r="G477" s="704"/>
      <c r="H477" s="704"/>
      <c r="I477" s="704"/>
    </row>
    <row r="478" spans="1:9" ht="15" hidden="1" customHeight="1">
      <c r="A478" s="30">
        <f t="shared" si="11"/>
        <v>0</v>
      </c>
      <c r="B478" s="72"/>
      <c r="C478" s="63">
        <v>2940</v>
      </c>
      <c r="D478" s="30" t="s">
        <v>132</v>
      </c>
      <c r="E478" s="30">
        <f>'eoy24'!K590</f>
        <v>0</v>
      </c>
      <c r="F478" s="215"/>
      <c r="G478" s="704"/>
      <c r="H478" s="704"/>
      <c r="I478" s="704"/>
    </row>
    <row r="479" spans="1:9" ht="15" hidden="1" customHeight="1">
      <c r="A479" s="30">
        <f t="shared" si="11"/>
        <v>0</v>
      </c>
      <c r="B479" s="72"/>
      <c r="C479" s="63">
        <v>2950</v>
      </c>
      <c r="D479" s="30" t="s">
        <v>134</v>
      </c>
      <c r="E479" s="30">
        <f>'eoy24'!K591</f>
        <v>0</v>
      </c>
      <c r="F479" s="215"/>
      <c r="G479" s="704"/>
      <c r="H479" s="704"/>
      <c r="I479" s="704"/>
    </row>
    <row r="480" spans="1:9" ht="15" hidden="1" customHeight="1">
      <c r="A480" s="30">
        <f t="shared" si="11"/>
        <v>0</v>
      </c>
      <c r="B480" s="72"/>
      <c r="C480" s="63">
        <v>2960</v>
      </c>
      <c r="D480" s="30" t="s">
        <v>246</v>
      </c>
      <c r="E480" s="30">
        <f>'eoy24'!K592</f>
        <v>0</v>
      </c>
      <c r="F480" s="215"/>
      <c r="G480" s="704"/>
      <c r="H480" s="704"/>
      <c r="I480" s="704"/>
    </row>
    <row r="481" spans="1:9" ht="15" hidden="1" customHeight="1">
      <c r="A481" s="30">
        <f t="shared" si="11"/>
        <v>0</v>
      </c>
      <c r="B481" s="72"/>
      <c r="C481" s="63">
        <v>2965</v>
      </c>
      <c r="D481" s="30" t="s">
        <v>247</v>
      </c>
      <c r="E481" s="30">
        <f>'eoy24'!K593</f>
        <v>0</v>
      </c>
      <c r="F481" s="215"/>
      <c r="G481" s="704"/>
      <c r="H481" s="704"/>
      <c r="I481" s="704"/>
    </row>
    <row r="482" spans="1:9" ht="15" hidden="1" customHeight="1">
      <c r="A482" s="30">
        <f t="shared" si="11"/>
        <v>0</v>
      </c>
      <c r="B482" s="72"/>
      <c r="C482" s="63">
        <v>2971</v>
      </c>
      <c r="D482" s="30" t="s">
        <v>137</v>
      </c>
      <c r="E482" s="30">
        <f>'eoy24'!K594</f>
        <v>0</v>
      </c>
      <c r="F482" s="215"/>
      <c r="G482" s="704"/>
      <c r="H482" s="704"/>
      <c r="I482" s="704"/>
    </row>
    <row r="483" spans="1:9" ht="15" hidden="1" customHeight="1">
      <c r="A483" s="30">
        <f t="shared" si="11"/>
        <v>0</v>
      </c>
      <c r="B483" s="72"/>
      <c r="C483" s="63">
        <v>2972</v>
      </c>
      <c r="D483" s="30" t="s">
        <v>138</v>
      </c>
      <c r="E483" s="30">
        <f>'eoy24'!K595</f>
        <v>0</v>
      </c>
      <c r="F483" s="215"/>
      <c r="G483" s="704"/>
      <c r="H483" s="704"/>
      <c r="I483" s="704"/>
    </row>
    <row r="484" spans="1:9" ht="15" hidden="1" customHeight="1">
      <c r="A484" s="30">
        <f t="shared" si="11"/>
        <v>0</v>
      </c>
      <c r="B484" s="72"/>
      <c r="C484" s="63">
        <v>2973</v>
      </c>
      <c r="D484" s="30" t="s">
        <v>139</v>
      </c>
      <c r="E484" s="30">
        <f>'eoy24'!K596</f>
        <v>0</v>
      </c>
      <c r="F484" s="215"/>
      <c r="G484" s="704"/>
      <c r="H484" s="704"/>
      <c r="I484" s="704"/>
    </row>
    <row r="485" spans="1:9" ht="15" hidden="1" customHeight="1">
      <c r="A485" s="30">
        <f t="shared" si="11"/>
        <v>0</v>
      </c>
      <c r="B485" s="72"/>
      <c r="C485" s="63">
        <v>2974</v>
      </c>
      <c r="D485" s="30" t="s">
        <v>140</v>
      </c>
      <c r="E485" s="30">
        <f>'eoy24'!K597</f>
        <v>0</v>
      </c>
      <c r="F485" s="215"/>
      <c r="G485" s="704"/>
      <c r="H485" s="704"/>
      <c r="I485" s="704"/>
    </row>
    <row r="486" spans="1:9" ht="15" hidden="1" customHeight="1">
      <c r="A486" s="30">
        <f t="shared" si="11"/>
        <v>0</v>
      </c>
      <c r="B486" s="72"/>
      <c r="C486" s="63">
        <v>2975</v>
      </c>
      <c r="D486" s="30" t="s">
        <v>141</v>
      </c>
      <c r="E486" s="30">
        <f>'eoy24'!K598</f>
        <v>0</v>
      </c>
      <c r="F486" s="215"/>
      <c r="G486" s="704"/>
      <c r="H486" s="704"/>
      <c r="I486" s="704"/>
    </row>
    <row r="487" spans="1:9" ht="15" hidden="1" customHeight="1">
      <c r="A487" s="30">
        <f t="shared" si="11"/>
        <v>0</v>
      </c>
      <c r="B487" s="72"/>
      <c r="C487" s="63">
        <v>2976</v>
      </c>
      <c r="D487" s="30" t="s">
        <v>142</v>
      </c>
      <c r="E487" s="30">
        <f>'eoy24'!K599</f>
        <v>0</v>
      </c>
      <c r="F487" s="215"/>
      <c r="G487" s="704"/>
      <c r="H487" s="704"/>
      <c r="I487" s="704"/>
    </row>
    <row r="488" spans="1:9" ht="15" hidden="1" customHeight="1">
      <c r="A488" s="30">
        <f t="shared" si="11"/>
        <v>0</v>
      </c>
      <c r="B488" s="72"/>
      <c r="C488" s="63">
        <v>2977</v>
      </c>
      <c r="D488" s="30" t="s">
        <v>143</v>
      </c>
      <c r="E488" s="30">
        <f>'eoy24'!K600</f>
        <v>0</v>
      </c>
      <c r="F488" s="215"/>
      <c r="G488" s="704"/>
      <c r="H488" s="704"/>
      <c r="I488" s="704"/>
    </row>
    <row r="489" spans="1:9" ht="15" hidden="1" customHeight="1">
      <c r="A489" s="30">
        <f t="shared" si="11"/>
        <v>0</v>
      </c>
      <c r="B489" s="72"/>
      <c r="C489" s="63">
        <v>2980</v>
      </c>
      <c r="D489" s="30" t="s">
        <v>248</v>
      </c>
      <c r="E489" s="30">
        <f>'eoy24'!K601</f>
        <v>0</v>
      </c>
      <c r="F489" s="215"/>
      <c r="G489" s="704"/>
      <c r="H489" s="704"/>
      <c r="I489" s="704"/>
    </row>
    <row r="490" spans="1:9" ht="15" hidden="1" customHeight="1">
      <c r="A490" s="30">
        <f t="shared" si="11"/>
        <v>0</v>
      </c>
      <c r="B490" s="72"/>
      <c r="C490" s="63">
        <v>2982</v>
      </c>
      <c r="D490" s="30" t="s">
        <v>145</v>
      </c>
      <c r="E490" s="30">
        <f>'eoy24'!K602</f>
        <v>0</v>
      </c>
      <c r="F490" s="215"/>
      <c r="G490" s="704"/>
      <c r="H490" s="704"/>
      <c r="I490" s="704"/>
    </row>
    <row r="491" spans="1:9" ht="15" hidden="1" customHeight="1">
      <c r="A491" s="30">
        <f t="shared" si="11"/>
        <v>0</v>
      </c>
      <c r="B491" s="72"/>
      <c r="C491" s="63">
        <v>2984</v>
      </c>
      <c r="D491" s="30" t="s">
        <v>146</v>
      </c>
      <c r="E491" s="30">
        <f>'eoy24'!K603</f>
        <v>0</v>
      </c>
      <c r="F491" s="215"/>
      <c r="G491" s="704"/>
      <c r="H491" s="704"/>
      <c r="I491" s="704"/>
    </row>
    <row r="492" spans="1:9" ht="15" hidden="1" customHeight="1">
      <c r="A492" s="30">
        <f t="shared" si="11"/>
        <v>0</v>
      </c>
      <c r="B492" s="72"/>
      <c r="C492" s="63">
        <v>2991</v>
      </c>
      <c r="D492" s="30" t="s">
        <v>147</v>
      </c>
      <c r="E492" s="30">
        <f>'eoy24'!K604</f>
        <v>0</v>
      </c>
      <c r="F492" s="215"/>
      <c r="G492" s="704"/>
      <c r="H492" s="704"/>
      <c r="I492" s="704"/>
    </row>
    <row r="493" spans="1:9" ht="15" hidden="1" customHeight="1">
      <c r="A493" s="30">
        <f t="shared" si="11"/>
        <v>0</v>
      </c>
      <c r="B493" s="72"/>
      <c r="C493" s="63">
        <v>2992</v>
      </c>
      <c r="D493" s="30" t="s">
        <v>148</v>
      </c>
      <c r="E493" s="30">
        <f>'eoy24'!K605</f>
        <v>0</v>
      </c>
      <c r="F493" s="215"/>
      <c r="G493" s="704"/>
      <c r="H493" s="704"/>
      <c r="I493" s="704"/>
    </row>
    <row r="494" spans="1:9" ht="15" hidden="1" customHeight="1">
      <c r="A494" s="30">
        <f t="shared" si="11"/>
        <v>0</v>
      </c>
      <c r="B494" s="72"/>
      <c r="C494" s="63">
        <v>2993</v>
      </c>
      <c r="D494" s="30" t="s">
        <v>150</v>
      </c>
      <c r="E494" s="30">
        <f>'eoy24'!K606</f>
        <v>0</v>
      </c>
      <c r="F494" s="215"/>
      <c r="G494" s="704"/>
      <c r="H494" s="704"/>
      <c r="I494" s="704"/>
    </row>
    <row r="495" spans="1:9" ht="15" hidden="1" customHeight="1">
      <c r="A495" s="30">
        <f t="shared" si="11"/>
        <v>0</v>
      </c>
      <c r="B495" s="72"/>
      <c r="C495" s="63">
        <v>2994</v>
      </c>
      <c r="D495" s="30" t="s">
        <v>151</v>
      </c>
      <c r="E495" s="30">
        <f>'eoy24'!K607</f>
        <v>0</v>
      </c>
      <c r="F495" s="215"/>
      <c r="G495" s="704"/>
      <c r="H495" s="704"/>
      <c r="I495" s="704"/>
    </row>
    <row r="496" spans="1:9" ht="15" hidden="1" customHeight="1">
      <c r="A496" s="30">
        <f t="shared" si="11"/>
        <v>0</v>
      </c>
      <c r="B496" s="72"/>
      <c r="C496" s="63">
        <v>2995</v>
      </c>
      <c r="D496" s="30" t="s">
        <v>197</v>
      </c>
      <c r="E496" s="30">
        <f>'eoy24'!K608</f>
        <v>0</v>
      </c>
      <c r="F496" s="215"/>
      <c r="G496" s="704"/>
      <c r="H496" s="704"/>
      <c r="I496" s="704"/>
    </row>
    <row r="497" spans="1:7" ht="15" hidden="1" customHeight="1">
      <c r="A497" s="30">
        <f t="shared" si="11"/>
        <v>0</v>
      </c>
      <c r="C497" s="63">
        <v>3012</v>
      </c>
      <c r="D497" s="30" t="s">
        <v>249</v>
      </c>
      <c r="E497" s="30">
        <f>'eoy24'!K609</f>
        <v>0</v>
      </c>
      <c r="G497" s="61"/>
    </row>
    <row r="498" spans="1:7" ht="15" hidden="1" customHeight="1">
      <c r="A498" s="30">
        <f t="shared" si="11"/>
        <v>0</v>
      </c>
      <c r="C498" s="63">
        <v>3014</v>
      </c>
      <c r="D498" s="30" t="s">
        <v>250</v>
      </c>
      <c r="E498" s="30">
        <f>'eoy24'!K610</f>
        <v>0</v>
      </c>
      <c r="G498" s="61"/>
    </row>
    <row r="499" spans="1:7" ht="15" hidden="1" customHeight="1">
      <c r="A499" s="30">
        <f t="shared" si="11"/>
        <v>0</v>
      </c>
      <c r="C499" s="63">
        <v>3022</v>
      </c>
      <c r="D499" s="30" t="s">
        <v>251</v>
      </c>
      <c r="E499" s="30">
        <f>'eoy24'!K611</f>
        <v>0</v>
      </c>
      <c r="G499" s="61"/>
    </row>
    <row r="500" spans="1:7" ht="15" hidden="1" customHeight="1">
      <c r="A500" s="30">
        <f t="shared" si="11"/>
        <v>0</v>
      </c>
      <c r="C500" s="63">
        <v>3024</v>
      </c>
      <c r="D500" s="30" t="s">
        <v>252</v>
      </c>
      <c r="E500" s="30">
        <f>'eoy24'!K612</f>
        <v>0</v>
      </c>
      <c r="G500" s="61"/>
    </row>
    <row r="501" spans="1:7" ht="15" hidden="1" customHeight="1">
      <c r="A501" s="30">
        <f t="shared" si="11"/>
        <v>0</v>
      </c>
      <c r="C501" s="63">
        <v>3026</v>
      </c>
      <c r="D501" s="30" t="s">
        <v>158</v>
      </c>
      <c r="E501" s="30">
        <f>'eoy24'!K613</f>
        <v>0</v>
      </c>
      <c r="G501" s="61"/>
    </row>
    <row r="502" spans="1:7" ht="15" hidden="1" customHeight="1">
      <c r="A502" s="30">
        <f t="shared" si="11"/>
        <v>0</v>
      </c>
      <c r="C502" s="63">
        <v>3028</v>
      </c>
      <c r="D502" s="30" t="s">
        <v>159</v>
      </c>
      <c r="E502" s="30">
        <f>'eoy24'!K614</f>
        <v>0</v>
      </c>
      <c r="G502" s="61"/>
    </row>
    <row r="503" spans="1:7" ht="15" hidden="1" customHeight="1">
      <c r="A503" s="30">
        <f t="shared" si="11"/>
        <v>0</v>
      </c>
      <c r="C503" s="63">
        <v>3030</v>
      </c>
      <c r="D503" s="30" t="s">
        <v>253</v>
      </c>
      <c r="E503" s="30">
        <f>'eoy24'!K615</f>
        <v>0</v>
      </c>
      <c r="G503" s="61"/>
    </row>
    <row r="504" spans="1:7" ht="15" hidden="1" customHeight="1">
      <c r="A504" s="30">
        <f t="shared" si="11"/>
        <v>0</v>
      </c>
      <c r="C504" s="63">
        <v>3042</v>
      </c>
      <c r="D504" s="30" t="s">
        <v>254</v>
      </c>
      <c r="E504" s="30">
        <f>'eoy24'!K616</f>
        <v>0</v>
      </c>
      <c r="G504" s="61"/>
    </row>
    <row r="505" spans="1:7" ht="15" hidden="1" customHeight="1">
      <c r="A505" s="30">
        <f t="shared" ref="A505:A519" si="12">IF(AND(A$520&gt;0,E505&gt;0),1,0)</f>
        <v>0</v>
      </c>
      <c r="C505" s="63">
        <v>3044</v>
      </c>
      <c r="D505" s="30" t="s">
        <v>255</v>
      </c>
      <c r="E505" s="30">
        <f>'eoy24'!K617</f>
        <v>0</v>
      </c>
      <c r="G505" s="61"/>
    </row>
    <row r="506" spans="1:7" ht="15" hidden="1" customHeight="1">
      <c r="A506" s="30">
        <f t="shared" si="12"/>
        <v>0</v>
      </c>
      <c r="C506" s="63">
        <v>3046</v>
      </c>
      <c r="D506" s="30" t="s">
        <v>256</v>
      </c>
      <c r="E506" s="30">
        <f>'eoy24'!K618</f>
        <v>0</v>
      </c>
      <c r="G506" s="61"/>
    </row>
    <row r="507" spans="1:7" ht="15" hidden="1" customHeight="1">
      <c r="A507" s="30">
        <f t="shared" si="12"/>
        <v>0</v>
      </c>
      <c r="C507" s="63">
        <v>3048</v>
      </c>
      <c r="D507" s="30" t="s">
        <v>257</v>
      </c>
      <c r="E507" s="30">
        <f>'eoy24'!K619</f>
        <v>0</v>
      </c>
      <c r="G507" s="61"/>
    </row>
    <row r="508" spans="1:7" ht="15" hidden="1" customHeight="1">
      <c r="A508" s="30">
        <f t="shared" si="12"/>
        <v>0</v>
      </c>
      <c r="C508" s="63">
        <v>3052</v>
      </c>
      <c r="D508" s="30" t="s">
        <v>165</v>
      </c>
      <c r="E508" s="30">
        <f>'eoy24'!K620</f>
        <v>0</v>
      </c>
      <c r="G508" s="61"/>
    </row>
    <row r="509" spans="1:7" ht="15" hidden="1" customHeight="1">
      <c r="A509" s="30">
        <f t="shared" si="12"/>
        <v>0</v>
      </c>
      <c r="C509" s="63">
        <v>3054</v>
      </c>
      <c r="D509" s="30" t="s">
        <v>166</v>
      </c>
      <c r="E509" s="30">
        <f>'eoy24'!K621</f>
        <v>0</v>
      </c>
      <c r="G509" s="61"/>
    </row>
    <row r="510" spans="1:7" ht="15" hidden="1" customHeight="1">
      <c r="A510" s="30">
        <f t="shared" si="12"/>
        <v>0</v>
      </c>
      <c r="C510" s="63">
        <v>3056</v>
      </c>
      <c r="D510" s="30" t="s">
        <v>167</v>
      </c>
      <c r="E510" s="30">
        <f>'eoy24'!K622</f>
        <v>0</v>
      </c>
      <c r="G510" s="61"/>
    </row>
    <row r="511" spans="1:7" ht="15" hidden="1" customHeight="1">
      <c r="A511" s="30">
        <f t="shared" si="12"/>
        <v>0</v>
      </c>
      <c r="C511" s="63">
        <v>3058</v>
      </c>
      <c r="D511" s="30" t="s">
        <v>168</v>
      </c>
      <c r="E511" s="30">
        <f>'eoy24'!K623</f>
        <v>0</v>
      </c>
      <c r="G511" s="61"/>
    </row>
    <row r="512" spans="1:7" ht="15" hidden="1" customHeight="1">
      <c r="A512" s="30">
        <f t="shared" si="12"/>
        <v>0</v>
      </c>
      <c r="C512" s="63">
        <v>3062</v>
      </c>
      <c r="D512" s="30" t="s">
        <v>170</v>
      </c>
      <c r="E512" s="30">
        <f>'eoy24'!K624</f>
        <v>0</v>
      </c>
      <c r="G512" s="61"/>
    </row>
    <row r="513" spans="1:9" ht="15" hidden="1" customHeight="1">
      <c r="A513" s="30">
        <f t="shared" si="12"/>
        <v>0</v>
      </c>
      <c r="C513" s="63">
        <v>3064</v>
      </c>
      <c r="D513" s="30" t="s">
        <v>171</v>
      </c>
      <c r="E513" s="30">
        <f>'eoy24'!K625</f>
        <v>0</v>
      </c>
      <c r="G513" s="61"/>
    </row>
    <row r="514" spans="1:9" ht="15" hidden="1" customHeight="1">
      <c r="A514" s="30">
        <f t="shared" si="12"/>
        <v>0</v>
      </c>
      <c r="C514" s="63">
        <v>3066</v>
      </c>
      <c r="D514" s="30" t="s">
        <v>172</v>
      </c>
      <c r="E514" s="30">
        <f>'eoy24'!K626</f>
        <v>0</v>
      </c>
      <c r="G514" s="61"/>
    </row>
    <row r="515" spans="1:9" ht="15" hidden="1" customHeight="1">
      <c r="A515" s="30">
        <f t="shared" si="12"/>
        <v>0</v>
      </c>
      <c r="C515" s="63">
        <v>3072</v>
      </c>
      <c r="D515" s="30" t="s">
        <v>174</v>
      </c>
      <c r="E515" s="30">
        <f>'eoy24'!K627</f>
        <v>0</v>
      </c>
      <c r="G515" s="61"/>
    </row>
    <row r="516" spans="1:9" ht="15" hidden="1" customHeight="1">
      <c r="A516" s="30">
        <f t="shared" si="12"/>
        <v>0</v>
      </c>
      <c r="C516" s="63">
        <v>3075</v>
      </c>
      <c r="D516" s="30" t="s">
        <v>177</v>
      </c>
      <c r="E516" s="30">
        <f>'eoy24'!K628</f>
        <v>0</v>
      </c>
      <c r="G516" s="61"/>
    </row>
    <row r="517" spans="1:9" ht="15" hidden="1" customHeight="1">
      <c r="A517" s="30">
        <f t="shared" si="12"/>
        <v>0</v>
      </c>
      <c r="C517" s="63">
        <v>3076</v>
      </c>
      <c r="D517" s="30" t="s">
        <v>179</v>
      </c>
      <c r="E517" s="30">
        <f>'eoy24'!K629</f>
        <v>0</v>
      </c>
      <c r="G517" s="61"/>
    </row>
    <row r="518" spans="1:9" ht="15" hidden="1" customHeight="1">
      <c r="A518" s="30">
        <f t="shared" si="12"/>
        <v>0</v>
      </c>
      <c r="C518" s="63">
        <v>3077</v>
      </c>
      <c r="D518" s="30" t="s">
        <v>180</v>
      </c>
      <c r="E518" s="30">
        <f>'eoy24'!K630</f>
        <v>401966</v>
      </c>
    </row>
    <row r="519" spans="1:9" ht="15" hidden="1" customHeight="1">
      <c r="A519" s="30">
        <f t="shared" si="12"/>
        <v>0</v>
      </c>
      <c r="C519" s="63">
        <v>3078</v>
      </c>
      <c r="D519" s="30" t="s">
        <v>181</v>
      </c>
      <c r="E519" s="30">
        <f>'eoy24'!K631</f>
        <v>0</v>
      </c>
    </row>
    <row r="520" spans="1:9" ht="32.25" hidden="1" customHeight="1">
      <c r="A520" s="120">
        <f>IF(OR(AND(E520&gt;0,I520=0),AND(E520=0,I520&gt;0)),1,0)</f>
        <v>0</v>
      </c>
      <c r="B520" s="120"/>
      <c r="C520" s="119" t="s">
        <v>899</v>
      </c>
      <c r="D520" s="120" t="s">
        <v>900</v>
      </c>
      <c r="E520" s="120">
        <f>'eoy24'!K632</f>
        <v>401966</v>
      </c>
      <c r="F520" s="120"/>
      <c r="G520" s="527"/>
      <c r="H520" s="527" t="s">
        <v>901</v>
      </c>
      <c r="I520" s="118">
        <f>'eoy24'!J33</f>
        <v>401966</v>
      </c>
    </row>
    <row r="521" spans="1:9" ht="32.25" hidden="1" customHeight="1">
      <c r="A521" s="30">
        <f ca="1">IF(A$606=1,1,0)</f>
        <v>0</v>
      </c>
      <c r="C521" s="702" t="s">
        <v>920</v>
      </c>
      <c r="D521" s="527"/>
      <c r="E521" s="527"/>
      <c r="F521" s="527"/>
      <c r="G521" s="216" t="s">
        <v>921</v>
      </c>
      <c r="H521" s="527"/>
      <c r="I521" s="527"/>
    </row>
    <row r="522" spans="1:9" ht="32.25" hidden="1" customHeight="1">
      <c r="A522" s="30">
        <f ca="1">IF(A$606=1,1,0)</f>
        <v>0</v>
      </c>
      <c r="B522" s="72"/>
      <c r="C522" s="122" t="s">
        <v>922</v>
      </c>
      <c r="D522" s="704"/>
      <c r="E522" s="704"/>
      <c r="F522" s="215"/>
      <c r="G522" s="706" t="s">
        <v>923</v>
      </c>
      <c r="H522" s="704"/>
      <c r="I522" s="704"/>
    </row>
    <row r="523" spans="1:9" ht="32.25" hidden="1" customHeight="1">
      <c r="A523" s="30">
        <f ca="1">IF(A$606=1,1,0)</f>
        <v>0</v>
      </c>
      <c r="B523" s="72"/>
      <c r="C523" s="703" t="s">
        <v>38</v>
      </c>
      <c r="D523" s="704" t="s">
        <v>895</v>
      </c>
      <c r="E523" s="704" t="s">
        <v>864</v>
      </c>
      <c r="F523" s="215"/>
      <c r="G523" s="704" t="s">
        <v>38</v>
      </c>
      <c r="H523" s="704" t="s">
        <v>863</v>
      </c>
      <c r="I523" s="704" t="s">
        <v>864</v>
      </c>
    </row>
    <row r="524" spans="1:9" ht="15" hidden="1" customHeight="1">
      <c r="A524" s="30">
        <f ca="1">IF(AND(A$606&gt;0,E524&gt;0),1,0)</f>
        <v>0</v>
      </c>
      <c r="B524" s="120"/>
      <c r="C524" s="63">
        <v>2801</v>
      </c>
      <c r="D524" s="30" t="s">
        <v>83</v>
      </c>
      <c r="E524" s="30">
        <f>'eoy24'!L547</f>
        <v>0</v>
      </c>
      <c r="F524" s="120"/>
      <c r="G524" s="527"/>
      <c r="H524" s="527"/>
      <c r="I524" s="120"/>
    </row>
    <row r="525" spans="1:9" ht="15" hidden="1" customHeight="1">
      <c r="A525" s="30">
        <f t="shared" ref="A525:A590" ca="1" si="13">IF(AND(A$606&gt;0,E525&gt;0),1,0)</f>
        <v>0</v>
      </c>
      <c r="B525" s="120"/>
      <c r="C525" s="63">
        <v>2802</v>
      </c>
      <c r="D525" s="30" t="s">
        <v>90</v>
      </c>
      <c r="E525" s="30">
        <f>'eoy24'!L548</f>
        <v>0</v>
      </c>
      <c r="F525" s="120"/>
      <c r="G525" s="527"/>
      <c r="H525" s="527"/>
      <c r="I525" s="120"/>
    </row>
    <row r="526" spans="1:9" ht="15" hidden="1" customHeight="1">
      <c r="A526" s="30">
        <f t="shared" ca="1" si="13"/>
        <v>0</v>
      </c>
      <c r="B526" s="120"/>
      <c r="C526" s="63">
        <v>2803</v>
      </c>
      <c r="D526" s="30" t="s">
        <v>92</v>
      </c>
      <c r="E526" s="30">
        <f>'eoy24'!L549</f>
        <v>0</v>
      </c>
      <c r="F526" s="120"/>
      <c r="G526" s="527"/>
      <c r="H526" s="527"/>
      <c r="I526" s="120"/>
    </row>
    <row r="527" spans="1:9" ht="15" hidden="1" customHeight="1">
      <c r="A527" s="30">
        <f t="shared" ca="1" si="13"/>
        <v>0</v>
      </c>
      <c r="B527" s="120"/>
      <c r="C527" s="63">
        <v>2804</v>
      </c>
      <c r="D527" s="30" t="s">
        <v>93</v>
      </c>
      <c r="E527" s="30">
        <f>'eoy24'!L550</f>
        <v>0</v>
      </c>
      <c r="F527" s="120"/>
      <c r="G527" s="527"/>
      <c r="H527" s="527"/>
      <c r="I527" s="120"/>
    </row>
    <row r="528" spans="1:9" ht="15" hidden="1" customHeight="1">
      <c r="A528" s="30">
        <f t="shared" ca="1" si="13"/>
        <v>0</v>
      </c>
      <c r="B528" s="120"/>
      <c r="C528" s="63">
        <v>2805</v>
      </c>
      <c r="D528" s="30" t="s">
        <v>94</v>
      </c>
      <c r="E528" s="30">
        <f>'eoy24'!L551</f>
        <v>0</v>
      </c>
      <c r="F528" s="120"/>
      <c r="G528" s="527"/>
      <c r="H528" s="527"/>
      <c r="I528" s="120"/>
    </row>
    <row r="529" spans="1:9" ht="15" hidden="1" customHeight="1">
      <c r="A529" s="30">
        <f t="shared" ca="1" si="13"/>
        <v>0</v>
      </c>
      <c r="B529" s="120"/>
      <c r="C529" s="63">
        <v>2806</v>
      </c>
      <c r="D529" s="30" t="s">
        <v>95</v>
      </c>
      <c r="E529" s="30">
        <f>'eoy24'!L552</f>
        <v>0</v>
      </c>
      <c r="F529" s="120"/>
      <c r="G529" s="527"/>
      <c r="H529" s="527"/>
      <c r="I529" s="120"/>
    </row>
    <row r="530" spans="1:9" ht="15" hidden="1" customHeight="1">
      <c r="A530" s="30">
        <f t="shared" ca="1" si="13"/>
        <v>0</v>
      </c>
      <c r="B530" s="120"/>
      <c r="C530" s="63">
        <v>2807</v>
      </c>
      <c r="D530" s="30" t="s">
        <v>236</v>
      </c>
      <c r="E530" s="30">
        <f>'eoy24'!L553</f>
        <v>0</v>
      </c>
      <c r="F530" s="120"/>
      <c r="G530" s="527"/>
      <c r="H530" s="527"/>
      <c r="I530" s="120"/>
    </row>
    <row r="531" spans="1:9" ht="15" hidden="1" customHeight="1">
      <c r="A531" s="30">
        <f t="shared" ca="1" si="13"/>
        <v>0</v>
      </c>
      <c r="B531" s="120"/>
      <c r="C531" s="63">
        <v>2808</v>
      </c>
      <c r="D531" s="30" t="s">
        <v>97</v>
      </c>
      <c r="E531" s="30">
        <f>'eoy24'!L554</f>
        <v>0</v>
      </c>
      <c r="F531" s="120"/>
      <c r="G531" s="527"/>
      <c r="H531" s="527"/>
      <c r="I531" s="120"/>
    </row>
    <row r="532" spans="1:9" ht="15" hidden="1" customHeight="1">
      <c r="A532" s="30">
        <f t="shared" ca="1" si="13"/>
        <v>0</v>
      </c>
      <c r="B532" s="120"/>
      <c r="C532" s="63">
        <v>2809</v>
      </c>
      <c r="D532" s="30" t="s">
        <v>910</v>
      </c>
      <c r="E532" s="30">
        <f>'eoy24'!L555</f>
        <v>0</v>
      </c>
      <c r="F532" s="120"/>
      <c r="G532" s="527"/>
      <c r="H532" s="527"/>
      <c r="I532" s="120"/>
    </row>
    <row r="533" spans="1:9" ht="15" hidden="1" customHeight="1">
      <c r="A533" s="30">
        <f t="shared" ca="1" si="13"/>
        <v>0</v>
      </c>
      <c r="B533" s="120"/>
      <c r="C533" s="63">
        <v>2810</v>
      </c>
      <c r="D533" s="30" t="s">
        <v>238</v>
      </c>
      <c r="E533" s="30">
        <f ca="1">'eoy24'!L557</f>
        <v>0</v>
      </c>
      <c r="F533" s="120"/>
      <c r="G533" s="527"/>
      <c r="H533" s="527"/>
      <c r="I533" s="120"/>
    </row>
    <row r="534" spans="1:9" ht="15" hidden="1" customHeight="1">
      <c r="A534" s="30">
        <f t="shared" ca="1" si="13"/>
        <v>0</v>
      </c>
      <c r="B534" s="120"/>
      <c r="C534" s="63">
        <v>2811</v>
      </c>
      <c r="D534" s="30" t="s">
        <v>239</v>
      </c>
      <c r="E534" s="30">
        <f ca="1">'eoy24'!L558</f>
        <v>0</v>
      </c>
      <c r="F534" s="120"/>
      <c r="G534" s="527"/>
      <c r="H534" s="527"/>
      <c r="I534" s="120"/>
    </row>
    <row r="535" spans="1:9" ht="15" hidden="1" customHeight="1">
      <c r="A535" s="30">
        <f t="shared" ca="1" si="13"/>
        <v>0</v>
      </c>
      <c r="B535" s="120"/>
      <c r="C535" s="63">
        <v>2812</v>
      </c>
      <c r="D535" s="30" t="s">
        <v>102</v>
      </c>
      <c r="E535" s="30">
        <f ca="1">'eoy24'!L559</f>
        <v>0</v>
      </c>
      <c r="F535" s="120"/>
      <c r="G535" s="527"/>
      <c r="H535" s="527"/>
      <c r="I535" s="120"/>
    </row>
    <row r="536" spans="1:9" ht="15" hidden="1" customHeight="1">
      <c r="A536" s="30">
        <f t="shared" ca="1" si="13"/>
        <v>0</v>
      </c>
      <c r="B536" s="120"/>
      <c r="C536" s="63">
        <v>2814</v>
      </c>
      <c r="D536" s="30" t="s">
        <v>103</v>
      </c>
      <c r="E536" s="30">
        <f ca="1">'eoy24'!L560</f>
        <v>0</v>
      </c>
      <c r="F536" s="120"/>
      <c r="G536" s="527"/>
      <c r="H536" s="527"/>
      <c r="I536" s="120"/>
    </row>
    <row r="537" spans="1:9" ht="15" hidden="1" customHeight="1">
      <c r="A537" s="30">
        <f t="shared" ca="1" si="13"/>
        <v>0</v>
      </c>
      <c r="B537" s="120"/>
      <c r="C537" s="63">
        <v>2815</v>
      </c>
      <c r="D537" s="30" t="s">
        <v>911</v>
      </c>
      <c r="E537" s="30">
        <f ca="1">'eoy24'!L561</f>
        <v>0</v>
      </c>
      <c r="F537" s="120"/>
      <c r="G537" s="527"/>
      <c r="H537" s="527"/>
      <c r="I537" s="120"/>
    </row>
    <row r="538" spans="1:9" ht="15" hidden="1" customHeight="1">
      <c r="A538" s="30">
        <f t="shared" ca="1" si="13"/>
        <v>0</v>
      </c>
      <c r="B538" s="120"/>
      <c r="C538" s="63">
        <v>2816</v>
      </c>
      <c r="D538" s="30" t="s">
        <v>105</v>
      </c>
      <c r="E538" s="30">
        <f ca="1">'eoy24'!L562</f>
        <v>0</v>
      </c>
      <c r="F538" s="120"/>
      <c r="G538" s="527"/>
      <c r="H538" s="527"/>
      <c r="I538" s="120"/>
    </row>
    <row r="539" spans="1:9" ht="15" hidden="1" customHeight="1">
      <c r="A539" s="30">
        <f t="shared" ca="1" si="13"/>
        <v>0</v>
      </c>
      <c r="B539" s="120"/>
      <c r="C539" s="63">
        <v>2817</v>
      </c>
      <c r="D539" s="30" t="s">
        <v>241</v>
      </c>
      <c r="E539" s="30">
        <f ca="1">'eoy24'!L563</f>
        <v>0</v>
      </c>
      <c r="F539" s="120"/>
      <c r="G539" s="527"/>
      <c r="H539" s="527"/>
      <c r="I539" s="120"/>
    </row>
    <row r="540" spans="1:9" ht="15" hidden="1" customHeight="1">
      <c r="A540" s="30">
        <f t="shared" ca="1" si="13"/>
        <v>0</v>
      </c>
      <c r="B540" s="120"/>
      <c r="C540" s="63">
        <v>2818</v>
      </c>
      <c r="D540" s="30" t="s">
        <v>108</v>
      </c>
      <c r="E540" s="30">
        <f ca="1">'eoy24'!L564</f>
        <v>0</v>
      </c>
      <c r="F540" s="120"/>
      <c r="G540" s="527"/>
      <c r="H540" s="527"/>
      <c r="I540" s="120"/>
    </row>
    <row r="541" spans="1:9" ht="15" hidden="1" customHeight="1">
      <c r="A541" s="30">
        <f t="shared" ca="1" si="13"/>
        <v>0</v>
      </c>
      <c r="B541" s="120"/>
      <c r="C541" s="63">
        <v>2819</v>
      </c>
      <c r="D541" s="30" t="s">
        <v>109</v>
      </c>
      <c r="E541" s="30">
        <f ca="1">'eoy24'!L565</f>
        <v>0</v>
      </c>
      <c r="F541" s="120"/>
      <c r="G541" s="527"/>
      <c r="H541" s="527"/>
      <c r="I541" s="120"/>
    </row>
    <row r="542" spans="1:9" ht="15" hidden="1" customHeight="1">
      <c r="A542" s="30">
        <f t="shared" ca="1" si="13"/>
        <v>0</v>
      </c>
      <c r="B542" s="120"/>
      <c r="C542" s="63">
        <v>2820</v>
      </c>
      <c r="D542" s="30" t="s">
        <v>242</v>
      </c>
      <c r="E542" s="30">
        <f ca="1">'eoy24'!L566</f>
        <v>0</v>
      </c>
      <c r="F542" s="120"/>
      <c r="G542" s="527"/>
      <c r="H542" s="527"/>
      <c r="I542" s="120"/>
    </row>
    <row r="543" spans="1:9" ht="15" hidden="1" customHeight="1">
      <c r="A543" s="30">
        <f t="shared" ca="1" si="13"/>
        <v>0</v>
      </c>
      <c r="B543" s="120"/>
      <c r="C543" s="63">
        <v>2821</v>
      </c>
      <c r="D543" s="30" t="s">
        <v>111</v>
      </c>
      <c r="E543" s="30">
        <f ca="1">'eoy24'!L567</f>
        <v>0</v>
      </c>
      <c r="F543" s="120"/>
      <c r="G543" s="527"/>
      <c r="H543" s="527"/>
      <c r="I543" s="120"/>
    </row>
    <row r="544" spans="1:9" ht="15" hidden="1" customHeight="1">
      <c r="A544" s="30">
        <f t="shared" ca="1" si="13"/>
        <v>0</v>
      </c>
      <c r="B544" s="120"/>
      <c r="C544" s="63">
        <v>2822</v>
      </c>
      <c r="D544" s="30" t="s">
        <v>896</v>
      </c>
      <c r="E544" s="30">
        <f ca="1">'eoy24'!L568</f>
        <v>0</v>
      </c>
      <c r="F544" s="120"/>
      <c r="G544" s="527"/>
      <c r="H544" s="527"/>
      <c r="I544" s="120"/>
    </row>
    <row r="545" spans="1:9" ht="15" hidden="1" customHeight="1">
      <c r="A545" s="30">
        <f t="shared" ca="1" si="13"/>
        <v>0</v>
      </c>
      <c r="B545" s="120"/>
      <c r="C545" s="63">
        <v>2823</v>
      </c>
      <c r="D545" s="30" t="s">
        <v>113</v>
      </c>
      <c r="E545" s="30">
        <f ca="1">'eoy24'!L569</f>
        <v>0</v>
      </c>
      <c r="F545" s="120"/>
      <c r="G545" s="527"/>
      <c r="H545" s="527"/>
      <c r="I545" s="120"/>
    </row>
    <row r="546" spans="1:9" ht="15" hidden="1" customHeight="1">
      <c r="A546" s="30">
        <f t="shared" ca="1" si="13"/>
        <v>0</v>
      </c>
      <c r="B546" s="120"/>
      <c r="C546" s="63">
        <v>2824</v>
      </c>
      <c r="D546" s="30" t="s">
        <v>114</v>
      </c>
      <c r="E546" s="30">
        <f ca="1">'eoy24'!L570</f>
        <v>0</v>
      </c>
      <c r="F546" s="120"/>
      <c r="G546" s="527"/>
      <c r="H546" s="527"/>
      <c r="I546" s="120"/>
    </row>
    <row r="547" spans="1:9" ht="15" hidden="1" customHeight="1">
      <c r="A547" s="30">
        <f t="shared" ca="1" si="13"/>
        <v>0</v>
      </c>
      <c r="B547" s="120"/>
      <c r="C547" s="63">
        <v>2825</v>
      </c>
      <c r="D547" s="30" t="s">
        <v>115</v>
      </c>
      <c r="E547" s="30">
        <f ca="1">'eoy24'!L571</f>
        <v>0</v>
      </c>
      <c r="F547" s="120"/>
      <c r="G547" s="527"/>
      <c r="H547" s="527"/>
      <c r="I547" s="120"/>
    </row>
    <row r="548" spans="1:9" ht="15" hidden="1" customHeight="1">
      <c r="A548" s="30">
        <f t="shared" ca="1" si="13"/>
        <v>0</v>
      </c>
      <c r="B548" s="120"/>
      <c r="C548" s="63">
        <v>2826</v>
      </c>
      <c r="D548" s="30" t="s">
        <v>243</v>
      </c>
      <c r="E548" s="30">
        <f ca="1">'eoy24'!L572</f>
        <v>0</v>
      </c>
      <c r="F548" s="120"/>
      <c r="G548" s="527"/>
      <c r="H548" s="527"/>
      <c r="I548" s="120"/>
    </row>
    <row r="549" spans="1:9" ht="15" hidden="1" customHeight="1">
      <c r="A549" s="30">
        <f t="shared" ca="1" si="13"/>
        <v>0</v>
      </c>
      <c r="B549" s="120"/>
      <c r="C549" s="63">
        <v>2827</v>
      </c>
      <c r="D549" s="30" t="s">
        <v>117</v>
      </c>
      <c r="E549" s="30">
        <f ca="1">'eoy24'!L573</f>
        <v>0</v>
      </c>
      <c r="F549" s="120"/>
      <c r="G549" s="527"/>
      <c r="H549" s="527"/>
      <c r="I549" s="120"/>
    </row>
    <row r="550" spans="1:9" ht="15" hidden="1" customHeight="1">
      <c r="A550" s="30">
        <f t="shared" ca="1" si="13"/>
        <v>0</v>
      </c>
      <c r="B550" s="120"/>
      <c r="C550" s="63">
        <v>2828</v>
      </c>
      <c r="D550" s="30" t="s">
        <v>118</v>
      </c>
      <c r="E550" s="30">
        <f ca="1">'eoy24'!L574</f>
        <v>0</v>
      </c>
      <c r="F550" s="120"/>
      <c r="G550" s="527"/>
      <c r="H550" s="527"/>
      <c r="I550" s="120"/>
    </row>
    <row r="551" spans="1:9" ht="15" hidden="1" customHeight="1">
      <c r="A551" s="30">
        <f t="shared" ca="1" si="13"/>
        <v>0</v>
      </c>
      <c r="B551" s="120"/>
      <c r="C551" s="63">
        <v>2829</v>
      </c>
      <c r="D551" s="30" t="s">
        <v>119</v>
      </c>
      <c r="E551" s="30">
        <f>'eoy24'!L575</f>
        <v>36553</v>
      </c>
      <c r="F551" s="120"/>
      <c r="G551" s="527"/>
      <c r="H551" s="527"/>
      <c r="I551" s="120"/>
    </row>
    <row r="552" spans="1:9" ht="15" hidden="1" customHeight="1">
      <c r="A552" s="30">
        <f t="shared" ca="1" si="13"/>
        <v>0</v>
      </c>
      <c r="B552" s="120"/>
      <c r="C552" s="63">
        <v>2830</v>
      </c>
      <c r="D552" s="30" t="s">
        <v>120</v>
      </c>
      <c r="E552" s="30">
        <f>'eoy24'!L576</f>
        <v>50000</v>
      </c>
      <c r="F552" s="120"/>
      <c r="G552" s="527"/>
      <c r="H552" s="527"/>
      <c r="I552" s="120"/>
    </row>
    <row r="553" spans="1:9" ht="15" hidden="1" customHeight="1">
      <c r="A553" s="30">
        <f t="shared" ca="1" si="13"/>
        <v>0</v>
      </c>
      <c r="B553" s="120"/>
      <c r="C553" s="63">
        <v>2831</v>
      </c>
      <c r="D553" s="30" t="s">
        <v>121</v>
      </c>
      <c r="E553" s="30">
        <f ca="1">'eoy24'!L577</f>
        <v>0</v>
      </c>
      <c r="F553" s="120"/>
      <c r="G553" s="527"/>
      <c r="H553" s="527"/>
      <c r="I553" s="120"/>
    </row>
    <row r="554" spans="1:9" ht="15" hidden="1" customHeight="1">
      <c r="A554" s="30">
        <f t="shared" ca="1" si="13"/>
        <v>0</v>
      </c>
      <c r="B554" s="120"/>
      <c r="C554" s="63">
        <v>2832</v>
      </c>
      <c r="D554" s="30" t="s">
        <v>122</v>
      </c>
      <c r="E554" s="30">
        <f ca="1">'eoy24'!L578</f>
        <v>0</v>
      </c>
      <c r="F554" s="120"/>
      <c r="G554" s="527"/>
      <c r="H554" s="527"/>
      <c r="I554" s="120"/>
    </row>
    <row r="555" spans="1:9" ht="15" hidden="1" customHeight="1">
      <c r="A555" s="30">
        <f t="shared" ca="1" si="13"/>
        <v>0</v>
      </c>
      <c r="B555" s="120"/>
      <c r="C555" s="63">
        <v>2833</v>
      </c>
      <c r="D555" s="30" t="s">
        <v>123</v>
      </c>
      <c r="E555" s="30">
        <f ca="1">'eoy24'!L579</f>
        <v>0</v>
      </c>
      <c r="F555" s="120"/>
      <c r="G555" s="527"/>
      <c r="H555" s="527"/>
      <c r="I555" s="120"/>
    </row>
    <row r="556" spans="1:9" ht="15" hidden="1" customHeight="1">
      <c r="A556" s="30">
        <f t="shared" ca="1" si="13"/>
        <v>0</v>
      </c>
      <c r="B556" s="120"/>
      <c r="C556" s="63">
        <v>2834</v>
      </c>
      <c r="D556" s="30" t="s">
        <v>124</v>
      </c>
      <c r="E556" s="30">
        <f>'eoy24'!L580</f>
        <v>50000</v>
      </c>
      <c r="F556" s="120"/>
      <c r="G556" s="527"/>
      <c r="H556" s="527"/>
      <c r="I556" s="120"/>
    </row>
    <row r="557" spans="1:9" ht="15" hidden="1" customHeight="1">
      <c r="A557" s="30">
        <f t="shared" ca="1" si="13"/>
        <v>0</v>
      </c>
      <c r="B557" s="120"/>
      <c r="C557" s="63">
        <v>2835</v>
      </c>
      <c r="D557" s="30" t="s">
        <v>125</v>
      </c>
      <c r="E557" s="30">
        <f ca="1">'eoy24'!L581</f>
        <v>0</v>
      </c>
      <c r="F557" s="120"/>
      <c r="G557" s="527"/>
      <c r="H557" s="527"/>
      <c r="I557" s="120"/>
    </row>
    <row r="558" spans="1:9" ht="15" hidden="1" customHeight="1">
      <c r="A558" s="30">
        <f t="shared" ca="1" si="13"/>
        <v>0</v>
      </c>
      <c r="B558" s="120"/>
      <c r="C558" s="63">
        <v>2836</v>
      </c>
      <c r="D558" s="30" t="s">
        <v>244</v>
      </c>
      <c r="E558" s="30">
        <f ca="1">'eoy24'!L582</f>
        <v>0</v>
      </c>
      <c r="F558" s="120"/>
      <c r="G558" s="527"/>
      <c r="H558" s="527"/>
      <c r="I558" s="120"/>
    </row>
    <row r="559" spans="1:9" ht="15" hidden="1" customHeight="1">
      <c r="A559" s="30">
        <f t="shared" ca="1" si="13"/>
        <v>0</v>
      </c>
      <c r="B559" s="120"/>
      <c r="C559" s="63">
        <v>2900</v>
      </c>
      <c r="D559" s="30" t="s">
        <v>127</v>
      </c>
      <c r="E559" s="30">
        <f ca="1">'eoy24'!L583</f>
        <v>0</v>
      </c>
      <c r="F559" s="120"/>
      <c r="G559" s="527"/>
      <c r="H559" s="527"/>
      <c r="I559" s="120"/>
    </row>
    <row r="560" spans="1:9" ht="15" hidden="1" customHeight="1">
      <c r="A560" s="30">
        <f t="shared" ca="1" si="13"/>
        <v>0</v>
      </c>
      <c r="B560" s="120"/>
      <c r="C560" s="63">
        <v>2901</v>
      </c>
      <c r="D560" s="30" t="s">
        <v>128</v>
      </c>
      <c r="E560" s="30">
        <f ca="1">'eoy24'!L584</f>
        <v>0</v>
      </c>
      <c r="F560" s="120"/>
      <c r="G560" s="527"/>
      <c r="H560" s="527"/>
      <c r="I560" s="120"/>
    </row>
    <row r="561" spans="1:9" ht="15" hidden="1" customHeight="1">
      <c r="A561" s="30">
        <f t="shared" ca="1" si="13"/>
        <v>0</v>
      </c>
      <c r="B561" s="120"/>
      <c r="C561" s="63">
        <v>2910</v>
      </c>
      <c r="D561" s="30" t="s">
        <v>129</v>
      </c>
      <c r="E561" s="30">
        <f>'eoy24'!L587</f>
        <v>0</v>
      </c>
      <c r="F561" s="120"/>
      <c r="G561" s="527"/>
      <c r="H561" s="527"/>
      <c r="I561" s="120"/>
    </row>
    <row r="562" spans="1:9" ht="15" hidden="1" customHeight="1">
      <c r="A562" s="30">
        <f t="shared" ca="1" si="13"/>
        <v>0</v>
      </c>
      <c r="B562" s="120"/>
      <c r="C562" s="63">
        <v>2920</v>
      </c>
      <c r="D562" s="30" t="s">
        <v>130</v>
      </c>
      <c r="E562" s="30">
        <f>'eoy24'!L588</f>
        <v>0</v>
      </c>
      <c r="F562" s="120"/>
      <c r="G562" s="527"/>
      <c r="H562" s="527"/>
      <c r="I562" s="120"/>
    </row>
    <row r="563" spans="1:9" ht="15" hidden="1" customHeight="1">
      <c r="A563" s="30">
        <f t="shared" ca="1" si="13"/>
        <v>0</v>
      </c>
      <c r="B563" s="120"/>
      <c r="C563" s="63">
        <v>2930</v>
      </c>
      <c r="D563" s="30" t="s">
        <v>131</v>
      </c>
      <c r="E563" s="30">
        <f>'eoy24'!L589</f>
        <v>0</v>
      </c>
      <c r="F563" s="120"/>
      <c r="G563" s="527"/>
      <c r="H563" s="527"/>
      <c r="I563" s="120"/>
    </row>
    <row r="564" spans="1:9" ht="15" hidden="1" customHeight="1">
      <c r="A564" s="30">
        <f t="shared" ca="1" si="13"/>
        <v>0</v>
      </c>
      <c r="B564" s="120"/>
      <c r="C564" s="63">
        <v>2940</v>
      </c>
      <c r="D564" s="30" t="s">
        <v>132</v>
      </c>
      <c r="E564" s="30">
        <f>'eoy24'!L590</f>
        <v>0</v>
      </c>
      <c r="F564" s="120"/>
      <c r="G564" s="527"/>
      <c r="H564" s="527"/>
      <c r="I564" s="120"/>
    </row>
    <row r="565" spans="1:9" ht="15" hidden="1" customHeight="1">
      <c r="A565" s="30">
        <f t="shared" ca="1" si="13"/>
        <v>0</v>
      </c>
      <c r="B565" s="120"/>
      <c r="C565" s="63">
        <v>2950</v>
      </c>
      <c r="D565" s="30" t="s">
        <v>134</v>
      </c>
      <c r="E565" s="30">
        <f>'eoy24'!L591</f>
        <v>0</v>
      </c>
      <c r="F565" s="120"/>
      <c r="G565" s="527"/>
      <c r="H565" s="527"/>
      <c r="I565" s="120"/>
    </row>
    <row r="566" spans="1:9" ht="15" hidden="1" customHeight="1">
      <c r="A566" s="30">
        <f t="shared" ca="1" si="13"/>
        <v>0</v>
      </c>
      <c r="B566" s="120"/>
      <c r="C566" s="63">
        <v>2960</v>
      </c>
      <c r="D566" s="30" t="s">
        <v>246</v>
      </c>
      <c r="E566" s="30">
        <f>'eoy24'!L592</f>
        <v>0</v>
      </c>
      <c r="F566" s="120"/>
      <c r="G566" s="527"/>
      <c r="H566" s="527"/>
      <c r="I566" s="120"/>
    </row>
    <row r="567" spans="1:9" ht="15" hidden="1" customHeight="1">
      <c r="A567" s="30">
        <f t="shared" ca="1" si="13"/>
        <v>0</v>
      </c>
      <c r="B567" s="120"/>
      <c r="C567" s="63">
        <v>2965</v>
      </c>
      <c r="D567" s="30" t="s">
        <v>247</v>
      </c>
      <c r="E567" s="30">
        <f>'eoy24'!L593</f>
        <v>0</v>
      </c>
      <c r="F567" s="120"/>
      <c r="G567" s="527"/>
      <c r="H567" s="527"/>
      <c r="I567" s="120"/>
    </row>
    <row r="568" spans="1:9" ht="15" hidden="1" customHeight="1">
      <c r="A568" s="30">
        <f t="shared" ca="1" si="13"/>
        <v>0</v>
      </c>
      <c r="B568" s="120"/>
      <c r="C568" s="63">
        <v>2971</v>
      </c>
      <c r="D568" s="30" t="s">
        <v>137</v>
      </c>
      <c r="E568" s="30">
        <f>'eoy24'!L594</f>
        <v>0</v>
      </c>
      <c r="F568" s="120"/>
      <c r="G568" s="527"/>
      <c r="H568" s="527"/>
      <c r="I568" s="120"/>
    </row>
    <row r="569" spans="1:9" ht="15" hidden="1" customHeight="1">
      <c r="A569" s="30">
        <f t="shared" ca="1" si="13"/>
        <v>0</v>
      </c>
      <c r="B569" s="120"/>
      <c r="C569" s="63">
        <v>2972</v>
      </c>
      <c r="D569" s="30" t="s">
        <v>138</v>
      </c>
      <c r="E569" s="30">
        <f>'eoy24'!L595</f>
        <v>0</v>
      </c>
      <c r="F569" s="120"/>
      <c r="G569" s="527"/>
      <c r="H569" s="527"/>
      <c r="I569" s="120"/>
    </row>
    <row r="570" spans="1:9" ht="15" hidden="1" customHeight="1">
      <c r="A570" s="30">
        <f t="shared" ca="1" si="13"/>
        <v>0</v>
      </c>
      <c r="B570" s="120"/>
      <c r="C570" s="63">
        <v>2973</v>
      </c>
      <c r="D570" s="30" t="s">
        <v>139</v>
      </c>
      <c r="E570" s="30">
        <f>'eoy24'!L596</f>
        <v>0</v>
      </c>
      <c r="F570" s="120"/>
      <c r="G570" s="527"/>
      <c r="H570" s="527"/>
      <c r="I570" s="120"/>
    </row>
    <row r="571" spans="1:9" ht="15" hidden="1" customHeight="1">
      <c r="A571" s="30">
        <f t="shared" ca="1" si="13"/>
        <v>0</v>
      </c>
      <c r="B571" s="120"/>
      <c r="C571" s="63">
        <v>2974</v>
      </c>
      <c r="D571" s="30" t="s">
        <v>140</v>
      </c>
      <c r="E571" s="30">
        <f>'eoy24'!L597</f>
        <v>0</v>
      </c>
      <c r="F571" s="120"/>
      <c r="G571" s="527"/>
      <c r="H571" s="527"/>
      <c r="I571" s="120"/>
    </row>
    <row r="572" spans="1:9" ht="15" hidden="1" customHeight="1">
      <c r="A572" s="30">
        <f t="shared" ca="1" si="13"/>
        <v>0</v>
      </c>
      <c r="B572" s="120"/>
      <c r="C572" s="63">
        <v>2975</v>
      </c>
      <c r="D572" s="30" t="s">
        <v>141</v>
      </c>
      <c r="E572" s="30">
        <f>'eoy24'!L598</f>
        <v>0</v>
      </c>
      <c r="F572" s="120"/>
      <c r="G572" s="527"/>
      <c r="H572" s="527"/>
      <c r="I572" s="120"/>
    </row>
    <row r="573" spans="1:9" ht="15" hidden="1" customHeight="1">
      <c r="A573" s="30">
        <f t="shared" ca="1" si="13"/>
        <v>0</v>
      </c>
      <c r="B573" s="120"/>
      <c r="C573" s="63">
        <v>2976</v>
      </c>
      <c r="D573" s="30" t="s">
        <v>142</v>
      </c>
      <c r="E573" s="30">
        <f>'eoy24'!L599</f>
        <v>0</v>
      </c>
      <c r="F573" s="120"/>
      <c r="G573" s="527"/>
      <c r="H573" s="527"/>
      <c r="I573" s="120"/>
    </row>
    <row r="574" spans="1:9" ht="15" hidden="1" customHeight="1">
      <c r="A574" s="30">
        <f t="shared" ca="1" si="13"/>
        <v>0</v>
      </c>
      <c r="B574" s="120"/>
      <c r="C574" s="63">
        <v>2977</v>
      </c>
      <c r="D574" s="30" t="s">
        <v>143</v>
      </c>
      <c r="E574" s="30">
        <f>'eoy24'!L600</f>
        <v>0</v>
      </c>
      <c r="F574" s="120"/>
      <c r="G574" s="527"/>
      <c r="H574" s="527"/>
      <c r="I574" s="120"/>
    </row>
    <row r="575" spans="1:9" ht="15" hidden="1" customHeight="1">
      <c r="A575" s="30">
        <f t="shared" ca="1" si="13"/>
        <v>0</v>
      </c>
      <c r="B575" s="120"/>
      <c r="C575" s="63">
        <v>2980</v>
      </c>
      <c r="D575" s="30" t="s">
        <v>145</v>
      </c>
      <c r="E575" s="30">
        <f>'eoy24'!L601</f>
        <v>0</v>
      </c>
      <c r="F575" s="120"/>
      <c r="G575" s="527"/>
      <c r="H575" s="527"/>
      <c r="I575" s="120"/>
    </row>
    <row r="576" spans="1:9" ht="15" hidden="1" customHeight="1">
      <c r="A576" s="30">
        <f t="shared" ca="1" si="13"/>
        <v>0</v>
      </c>
      <c r="B576" s="120"/>
      <c r="C576" s="63">
        <v>2982</v>
      </c>
      <c r="D576" s="30" t="s">
        <v>146</v>
      </c>
      <c r="E576" s="30">
        <f>'eoy24'!L602</f>
        <v>0</v>
      </c>
      <c r="F576" s="120"/>
      <c r="G576" s="527"/>
      <c r="H576" s="527"/>
      <c r="I576" s="120"/>
    </row>
    <row r="577" spans="1:9" ht="15" hidden="1" customHeight="1">
      <c r="A577" s="30">
        <f t="shared" ca="1" si="13"/>
        <v>0</v>
      </c>
      <c r="B577" s="120"/>
      <c r="C577" s="63">
        <v>2984</v>
      </c>
      <c r="D577" s="30" t="s">
        <v>924</v>
      </c>
      <c r="E577" s="30">
        <f>'eoy24'!L603</f>
        <v>0</v>
      </c>
      <c r="F577" s="120"/>
      <c r="G577" s="527"/>
      <c r="H577" s="527"/>
      <c r="I577" s="120"/>
    </row>
    <row r="578" spans="1:9" ht="15" hidden="1" customHeight="1">
      <c r="A578" s="30">
        <f t="shared" ca="1" si="13"/>
        <v>0</v>
      </c>
      <c r="B578" s="120"/>
      <c r="C578" s="63">
        <v>2991</v>
      </c>
      <c r="D578" s="30" t="s">
        <v>147</v>
      </c>
      <c r="E578" s="30">
        <f>'eoy24'!L604</f>
        <v>0</v>
      </c>
      <c r="F578" s="120"/>
      <c r="G578" s="527"/>
      <c r="H578" s="527"/>
      <c r="I578" s="120"/>
    </row>
    <row r="579" spans="1:9" ht="15" hidden="1" customHeight="1">
      <c r="A579" s="30">
        <f t="shared" ca="1" si="13"/>
        <v>0</v>
      </c>
      <c r="B579" s="120"/>
      <c r="C579" s="63">
        <v>2992</v>
      </c>
      <c r="D579" s="30" t="s">
        <v>148</v>
      </c>
      <c r="E579" s="30">
        <f>'eoy24'!L605</f>
        <v>0</v>
      </c>
      <c r="F579" s="120"/>
      <c r="G579" s="527"/>
      <c r="H579" s="527"/>
      <c r="I579" s="120"/>
    </row>
    <row r="580" spans="1:9" ht="15" hidden="1" customHeight="1">
      <c r="A580" s="30">
        <f t="shared" ca="1" si="13"/>
        <v>0</v>
      </c>
      <c r="B580" s="120"/>
      <c r="C580" s="63">
        <v>2993</v>
      </c>
      <c r="D580" s="30" t="s">
        <v>150</v>
      </c>
      <c r="E580" s="30">
        <f>'eoy24'!L606</f>
        <v>0</v>
      </c>
      <c r="F580" s="120"/>
      <c r="G580" s="527"/>
      <c r="H580" s="527"/>
      <c r="I580" s="120"/>
    </row>
    <row r="581" spans="1:9" ht="15" hidden="1" customHeight="1">
      <c r="A581" s="30">
        <f t="shared" ca="1" si="13"/>
        <v>0</v>
      </c>
      <c r="B581" s="120"/>
      <c r="C581" s="63">
        <v>2994</v>
      </c>
      <c r="D581" s="30" t="s">
        <v>151</v>
      </c>
      <c r="E581" s="30">
        <f>'eoy24'!L607</f>
        <v>0</v>
      </c>
      <c r="F581" s="120"/>
      <c r="G581" s="527"/>
      <c r="H581" s="527"/>
      <c r="I581" s="120"/>
    </row>
    <row r="582" spans="1:9" ht="15" hidden="1" customHeight="1">
      <c r="A582" s="30">
        <f t="shared" ca="1" si="13"/>
        <v>0</v>
      </c>
      <c r="B582" s="120"/>
      <c r="C582" s="63">
        <v>2995</v>
      </c>
      <c r="D582" s="30" t="s">
        <v>197</v>
      </c>
      <c r="E582" s="30">
        <f>'eoy24'!L608</f>
        <v>0</v>
      </c>
      <c r="F582" s="120"/>
      <c r="G582" s="527"/>
      <c r="H582" s="527"/>
      <c r="I582" s="120"/>
    </row>
    <row r="583" spans="1:9" ht="15" hidden="1" customHeight="1">
      <c r="A583" s="30">
        <f t="shared" ca="1" si="13"/>
        <v>0</v>
      </c>
      <c r="B583" s="120"/>
      <c r="C583" s="63">
        <v>3012</v>
      </c>
      <c r="D583" s="30" t="s">
        <v>249</v>
      </c>
      <c r="E583" s="30">
        <f>'eoy24'!L609</f>
        <v>0</v>
      </c>
      <c r="F583" s="120"/>
      <c r="G583" s="527"/>
      <c r="H583" s="527"/>
      <c r="I583" s="120"/>
    </row>
    <row r="584" spans="1:9" ht="15" hidden="1" customHeight="1">
      <c r="A584" s="30">
        <f t="shared" ca="1" si="13"/>
        <v>0</v>
      </c>
      <c r="B584" s="120"/>
      <c r="C584" s="63">
        <v>3014</v>
      </c>
      <c r="D584" s="30" t="s">
        <v>250</v>
      </c>
      <c r="E584" s="30">
        <f>'eoy24'!L610</f>
        <v>0</v>
      </c>
      <c r="F584" s="120"/>
      <c r="G584" s="527"/>
      <c r="H584" s="527"/>
      <c r="I584" s="120"/>
    </row>
    <row r="585" spans="1:9" ht="15" hidden="1" customHeight="1">
      <c r="A585" s="30">
        <f t="shared" ca="1" si="13"/>
        <v>0</v>
      </c>
      <c r="B585" s="120"/>
      <c r="C585" s="63">
        <v>3022</v>
      </c>
      <c r="D585" s="30" t="s">
        <v>251</v>
      </c>
      <c r="E585" s="30">
        <f>'eoy24'!L611</f>
        <v>0</v>
      </c>
      <c r="F585" s="120"/>
      <c r="G585" s="527"/>
      <c r="H585" s="527"/>
      <c r="I585" s="120"/>
    </row>
    <row r="586" spans="1:9" ht="15" hidden="1" customHeight="1">
      <c r="A586" s="30">
        <f t="shared" ca="1" si="13"/>
        <v>0</v>
      </c>
      <c r="B586" s="120"/>
      <c r="C586" s="63">
        <v>3024</v>
      </c>
      <c r="D586" s="30" t="s">
        <v>252</v>
      </c>
      <c r="E586" s="30">
        <f>'eoy24'!L612</f>
        <v>0</v>
      </c>
      <c r="F586" s="120"/>
      <c r="G586" s="527"/>
      <c r="H586" s="527"/>
      <c r="I586" s="120"/>
    </row>
    <row r="587" spans="1:9" ht="15" hidden="1" customHeight="1">
      <c r="A587" s="30">
        <f t="shared" ca="1" si="13"/>
        <v>0</v>
      </c>
      <c r="B587" s="120"/>
      <c r="C587" s="63">
        <v>3026</v>
      </c>
      <c r="D587" s="30" t="s">
        <v>158</v>
      </c>
      <c r="E587" s="30">
        <f>'eoy24'!L613</f>
        <v>0</v>
      </c>
      <c r="F587" s="120"/>
      <c r="G587" s="527"/>
      <c r="H587" s="527"/>
      <c r="I587" s="120"/>
    </row>
    <row r="588" spans="1:9" ht="15" hidden="1" customHeight="1">
      <c r="A588" s="30">
        <f t="shared" ca="1" si="13"/>
        <v>0</v>
      </c>
      <c r="B588" s="120"/>
      <c r="C588" s="63">
        <v>3028</v>
      </c>
      <c r="D588" s="30" t="s">
        <v>159</v>
      </c>
      <c r="E588" s="30">
        <f>'eoy24'!L614</f>
        <v>0</v>
      </c>
      <c r="F588" s="120"/>
      <c r="G588" s="527"/>
      <c r="H588" s="527"/>
      <c r="I588" s="120"/>
    </row>
    <row r="589" spans="1:9" ht="15" hidden="1" customHeight="1">
      <c r="A589" s="30">
        <f t="shared" ca="1" si="13"/>
        <v>0</v>
      </c>
      <c r="B589" s="120"/>
      <c r="C589" s="63">
        <v>3030</v>
      </c>
      <c r="D589" s="30" t="s">
        <v>253</v>
      </c>
      <c r="E589" s="30">
        <f>'eoy24'!L615</f>
        <v>0</v>
      </c>
      <c r="F589" s="120"/>
      <c r="G589" s="527"/>
      <c r="H589" s="527"/>
      <c r="I589" s="120"/>
    </row>
    <row r="590" spans="1:9" ht="15" hidden="1" customHeight="1">
      <c r="A590" s="30">
        <f t="shared" ca="1" si="13"/>
        <v>0</v>
      </c>
      <c r="B590" s="120"/>
      <c r="C590" s="63">
        <v>3042</v>
      </c>
      <c r="D590" s="30" t="s">
        <v>254</v>
      </c>
      <c r="E590" s="30">
        <f>'eoy24'!L616</f>
        <v>0</v>
      </c>
      <c r="F590" s="120"/>
      <c r="G590" s="527"/>
      <c r="H590" s="527"/>
      <c r="I590" s="120"/>
    </row>
    <row r="591" spans="1:9" ht="15" hidden="1" customHeight="1">
      <c r="A591" s="30">
        <f t="shared" ref="A591:A605" ca="1" si="14">IF(AND(A$606&gt;0,E591&gt;0),1,0)</f>
        <v>0</v>
      </c>
      <c r="B591" s="120"/>
      <c r="C591" s="63">
        <v>3044</v>
      </c>
      <c r="D591" s="30" t="s">
        <v>255</v>
      </c>
      <c r="E591" s="30">
        <f>'eoy24'!L617</f>
        <v>0</v>
      </c>
      <c r="F591" s="120"/>
      <c r="G591" s="527"/>
      <c r="H591" s="527"/>
      <c r="I591" s="120"/>
    </row>
    <row r="592" spans="1:9" ht="15" hidden="1" customHeight="1">
      <c r="A592" s="30">
        <f t="shared" ca="1" si="14"/>
        <v>0</v>
      </c>
      <c r="B592" s="120"/>
      <c r="C592" s="63">
        <v>3046</v>
      </c>
      <c r="D592" s="30" t="s">
        <v>256</v>
      </c>
      <c r="E592" s="30">
        <f>'eoy24'!L618</f>
        <v>0</v>
      </c>
      <c r="F592" s="120"/>
      <c r="G592" s="527"/>
      <c r="H592" s="527"/>
      <c r="I592" s="120"/>
    </row>
    <row r="593" spans="1:9" ht="15" hidden="1" customHeight="1">
      <c r="A593" s="30">
        <f t="shared" ca="1" si="14"/>
        <v>0</v>
      </c>
      <c r="B593" s="120"/>
      <c r="C593" s="63">
        <v>3048</v>
      </c>
      <c r="D593" s="30" t="s">
        <v>257</v>
      </c>
      <c r="E593" s="30">
        <f>'eoy24'!L619</f>
        <v>0</v>
      </c>
      <c r="F593" s="120"/>
      <c r="G593" s="527"/>
      <c r="H593" s="527"/>
      <c r="I593" s="120"/>
    </row>
    <row r="594" spans="1:9" ht="15" hidden="1" customHeight="1">
      <c r="A594" s="30">
        <f t="shared" ca="1" si="14"/>
        <v>0</v>
      </c>
      <c r="B594" s="120"/>
      <c r="C594" s="63">
        <v>3052</v>
      </c>
      <c r="D594" s="30" t="s">
        <v>165</v>
      </c>
      <c r="E594" s="30">
        <f>'eoy24'!L620</f>
        <v>0</v>
      </c>
      <c r="F594" s="120"/>
      <c r="G594" s="527"/>
      <c r="H594" s="527"/>
      <c r="I594" s="120"/>
    </row>
    <row r="595" spans="1:9" ht="15" hidden="1" customHeight="1">
      <c r="A595" s="30">
        <f t="shared" ca="1" si="14"/>
        <v>0</v>
      </c>
      <c r="B595" s="120"/>
      <c r="C595" s="63">
        <v>3054</v>
      </c>
      <c r="D595" s="30" t="s">
        <v>166</v>
      </c>
      <c r="E595" s="30">
        <f>'eoy24'!L621</f>
        <v>0</v>
      </c>
      <c r="F595" s="120"/>
      <c r="G595" s="527"/>
      <c r="H595" s="527"/>
      <c r="I595" s="120"/>
    </row>
    <row r="596" spans="1:9" ht="15" hidden="1" customHeight="1">
      <c r="A596" s="30">
        <f t="shared" ca="1" si="14"/>
        <v>0</v>
      </c>
      <c r="B596" s="120"/>
      <c r="C596" s="63">
        <v>3056</v>
      </c>
      <c r="D596" s="30" t="s">
        <v>167</v>
      </c>
      <c r="E596" s="30">
        <f>'eoy24'!L622</f>
        <v>0</v>
      </c>
      <c r="F596" s="120"/>
      <c r="G596" s="527"/>
      <c r="H596" s="527"/>
      <c r="I596" s="120"/>
    </row>
    <row r="597" spans="1:9" ht="15" hidden="1" customHeight="1">
      <c r="A597" s="30">
        <f t="shared" ca="1" si="14"/>
        <v>0</v>
      </c>
      <c r="B597" s="120"/>
      <c r="C597" s="63">
        <v>3058</v>
      </c>
      <c r="D597" s="30" t="s">
        <v>168</v>
      </c>
      <c r="E597" s="30">
        <f>'eoy24'!L623</f>
        <v>0</v>
      </c>
      <c r="F597" s="120"/>
      <c r="G597" s="527"/>
      <c r="H597" s="527"/>
      <c r="I597" s="120"/>
    </row>
    <row r="598" spans="1:9" ht="15" hidden="1" customHeight="1">
      <c r="A598" s="30">
        <f t="shared" ca="1" si="14"/>
        <v>0</v>
      </c>
      <c r="B598" s="120"/>
      <c r="C598" s="63">
        <v>3062</v>
      </c>
      <c r="D598" s="30" t="s">
        <v>170</v>
      </c>
      <c r="E598" s="30">
        <f>'eoy24'!L624</f>
        <v>0</v>
      </c>
      <c r="F598" s="120"/>
      <c r="G598" s="527"/>
      <c r="H598" s="527"/>
      <c r="I598" s="120"/>
    </row>
    <row r="599" spans="1:9" ht="15" hidden="1" customHeight="1">
      <c r="A599" s="30">
        <f t="shared" ca="1" si="14"/>
        <v>0</v>
      </c>
      <c r="B599" s="120"/>
      <c r="C599" s="63">
        <v>3064</v>
      </c>
      <c r="D599" s="30" t="s">
        <v>171</v>
      </c>
      <c r="E599" s="30">
        <f>'eoy24'!L625</f>
        <v>0</v>
      </c>
      <c r="F599" s="120"/>
      <c r="G599" s="527"/>
      <c r="H599" s="527"/>
      <c r="I599" s="120"/>
    </row>
    <row r="600" spans="1:9" ht="15" hidden="1" customHeight="1">
      <c r="A600" s="30">
        <f t="shared" ca="1" si="14"/>
        <v>0</v>
      </c>
      <c r="B600" s="120"/>
      <c r="C600" s="63">
        <v>3066</v>
      </c>
      <c r="D600" s="30" t="s">
        <v>172</v>
      </c>
      <c r="E600" s="30">
        <f>'eoy24'!L626</f>
        <v>0</v>
      </c>
      <c r="F600" s="120"/>
      <c r="G600" s="527"/>
      <c r="H600" s="527"/>
      <c r="I600" s="120"/>
    </row>
    <row r="601" spans="1:9" ht="15" hidden="1" customHeight="1">
      <c r="A601" s="30">
        <f t="shared" ca="1" si="14"/>
        <v>0</v>
      </c>
      <c r="B601" s="120"/>
      <c r="C601" s="63">
        <v>3072</v>
      </c>
      <c r="D601" s="30" t="s">
        <v>174</v>
      </c>
      <c r="E601" s="30">
        <f>'eoy24'!L627</f>
        <v>0</v>
      </c>
      <c r="F601" s="120"/>
      <c r="G601" s="527"/>
      <c r="H601" s="527"/>
      <c r="I601" s="120"/>
    </row>
    <row r="602" spans="1:9" ht="15" hidden="1" customHeight="1">
      <c r="A602" s="30">
        <f t="shared" ca="1" si="14"/>
        <v>0</v>
      </c>
      <c r="B602" s="120"/>
      <c r="C602" s="63">
        <v>3075</v>
      </c>
      <c r="D602" s="30" t="s">
        <v>177</v>
      </c>
      <c r="E602" s="30">
        <f>'eoy24'!L628</f>
        <v>0</v>
      </c>
      <c r="F602" s="120"/>
      <c r="G602" s="527"/>
      <c r="H602" s="527"/>
      <c r="I602" s="120"/>
    </row>
    <row r="603" spans="1:9" ht="15" hidden="1" customHeight="1">
      <c r="A603" s="30">
        <f t="shared" ca="1" si="14"/>
        <v>0</v>
      </c>
      <c r="B603" s="120"/>
      <c r="C603" s="63">
        <v>3076</v>
      </c>
      <c r="D603" s="30" t="s">
        <v>179</v>
      </c>
      <c r="E603" s="30">
        <f>'eoy24'!L629</f>
        <v>0</v>
      </c>
      <c r="F603" s="120"/>
      <c r="G603" s="527"/>
      <c r="H603" s="527"/>
      <c r="I603" s="120"/>
    </row>
    <row r="604" spans="1:9" ht="15" hidden="1" customHeight="1">
      <c r="A604" s="30">
        <f t="shared" ca="1" si="14"/>
        <v>0</v>
      </c>
      <c r="B604" s="120"/>
      <c r="C604" s="63">
        <v>3077</v>
      </c>
      <c r="D604" s="30" t="s">
        <v>180</v>
      </c>
      <c r="E604" s="30">
        <f>'eoy24'!L630</f>
        <v>0</v>
      </c>
      <c r="F604" s="120"/>
      <c r="G604" s="527"/>
      <c r="H604" s="527"/>
      <c r="I604" s="120"/>
    </row>
    <row r="605" spans="1:9" ht="15" hidden="1" customHeight="1">
      <c r="A605" s="30">
        <f t="shared" ca="1" si="14"/>
        <v>0</v>
      </c>
      <c r="B605" s="120"/>
      <c r="C605" s="63">
        <v>3078</v>
      </c>
      <c r="D605" s="30" t="s">
        <v>181</v>
      </c>
      <c r="E605" s="30">
        <f>'eoy24'!L631</f>
        <v>0</v>
      </c>
      <c r="F605" s="120"/>
      <c r="G605" s="21"/>
      <c r="H605" s="21"/>
      <c r="I605" s="120"/>
    </row>
    <row r="606" spans="1:9" ht="32.25" hidden="1" customHeight="1">
      <c r="A606" s="120">
        <f ca="1">IF(OR(AND(E606&gt;0,I606=0),AND(E606=0,I606&gt;0)),1,0)</f>
        <v>0</v>
      </c>
      <c r="B606" s="120"/>
      <c r="C606" s="119" t="s">
        <v>899</v>
      </c>
      <c r="D606" s="120" t="s">
        <v>900</v>
      </c>
      <c r="E606" s="120">
        <f ca="1">'eoy24'!L632</f>
        <v>136553</v>
      </c>
      <c r="F606" s="120"/>
      <c r="G606" s="527">
        <v>660</v>
      </c>
      <c r="H606" s="527" t="s">
        <v>901</v>
      </c>
      <c r="I606" s="120">
        <f>'eoy24'!J51</f>
        <v>136583</v>
      </c>
    </row>
    <row r="607" spans="1:9" ht="32.25" hidden="1" customHeight="1">
      <c r="A607" s="30">
        <f ca="1">IF(A$697=1,1,0)</f>
        <v>0</v>
      </c>
      <c r="C607" s="702" t="s">
        <v>925</v>
      </c>
      <c r="D607" s="527"/>
      <c r="E607" s="527"/>
      <c r="F607" s="527"/>
      <c r="G607" s="216" t="s">
        <v>926</v>
      </c>
      <c r="H607" s="527"/>
      <c r="I607" s="527"/>
    </row>
    <row r="608" spans="1:9" ht="32.25" hidden="1" customHeight="1">
      <c r="A608" s="30">
        <f ca="1">IF(A$697=1,1,0)</f>
        <v>0</v>
      </c>
      <c r="B608" s="72"/>
      <c r="C608" s="122" t="s">
        <v>927</v>
      </c>
      <c r="D608" s="704"/>
      <c r="E608" s="704"/>
      <c r="F608" s="215"/>
      <c r="G608" s="706" t="s">
        <v>928</v>
      </c>
      <c r="H608" s="704"/>
      <c r="I608" s="704"/>
    </row>
    <row r="609" spans="1:9" ht="32.25" hidden="1" customHeight="1">
      <c r="A609" s="30">
        <f ca="1">IF(A$697=1,1,0)</f>
        <v>0</v>
      </c>
      <c r="B609" s="72"/>
      <c r="C609" s="703" t="s">
        <v>38</v>
      </c>
      <c r="D609" s="704" t="s">
        <v>895</v>
      </c>
      <c r="E609" s="704" t="s">
        <v>864</v>
      </c>
      <c r="F609" s="215"/>
      <c r="G609" s="704" t="s">
        <v>38</v>
      </c>
      <c r="H609" s="704" t="s">
        <v>863</v>
      </c>
      <c r="I609" s="704" t="s">
        <v>864</v>
      </c>
    </row>
    <row r="610" spans="1:9" ht="15" hidden="1" customHeight="1">
      <c r="A610" s="30">
        <f ca="1">IF(AND(A$697&gt;0,E610&gt;0),1,0)</f>
        <v>0</v>
      </c>
      <c r="B610" s="72"/>
      <c r="C610" s="63">
        <v>2801</v>
      </c>
      <c r="D610" s="30" t="s">
        <v>83</v>
      </c>
      <c r="E610" s="72">
        <f>'eoy24'!M547</f>
        <v>0</v>
      </c>
      <c r="F610" s="215"/>
      <c r="G610" s="704"/>
      <c r="H610" s="704"/>
      <c r="I610" s="704"/>
    </row>
    <row r="611" spans="1:9" ht="15" hidden="1" customHeight="1">
      <c r="A611" s="30">
        <f t="shared" ref="A611:A676" ca="1" si="15">IF(AND(A$697&gt;0,E611&gt;0),1,0)</f>
        <v>0</v>
      </c>
      <c r="B611" s="72"/>
      <c r="C611" s="63">
        <v>2802</v>
      </c>
      <c r="D611" s="30" t="s">
        <v>90</v>
      </c>
      <c r="E611" s="72">
        <f>'eoy24'!M548</f>
        <v>0</v>
      </c>
      <c r="F611" s="215"/>
      <c r="G611" s="704"/>
      <c r="H611" s="704"/>
      <c r="I611" s="704"/>
    </row>
    <row r="612" spans="1:9" ht="15" hidden="1" customHeight="1">
      <c r="A612" s="30">
        <f t="shared" ca="1" si="15"/>
        <v>0</v>
      </c>
      <c r="B612" s="72"/>
      <c r="C612" s="63">
        <v>2803</v>
      </c>
      <c r="D612" s="30" t="s">
        <v>92</v>
      </c>
      <c r="E612" s="72">
        <f>'eoy24'!M549</f>
        <v>0</v>
      </c>
      <c r="F612" s="215"/>
      <c r="G612" s="704"/>
      <c r="H612" s="704"/>
      <c r="I612" s="704"/>
    </row>
    <row r="613" spans="1:9" ht="15" hidden="1" customHeight="1">
      <c r="A613" s="30">
        <f t="shared" ca="1" si="15"/>
        <v>0</v>
      </c>
      <c r="B613" s="72"/>
      <c r="C613" s="63">
        <v>2804</v>
      </c>
      <c r="D613" s="30" t="s">
        <v>93</v>
      </c>
      <c r="E613" s="72">
        <f>'eoy24'!M550</f>
        <v>0</v>
      </c>
      <c r="F613" s="215"/>
      <c r="G613" s="704"/>
      <c r="H613" s="704"/>
      <c r="I613" s="704"/>
    </row>
    <row r="614" spans="1:9" ht="15" hidden="1" customHeight="1">
      <c r="A614" s="30">
        <f t="shared" ca="1" si="15"/>
        <v>0</v>
      </c>
      <c r="B614" s="72"/>
      <c r="C614" s="63">
        <v>2805</v>
      </c>
      <c r="D614" s="30" t="s">
        <v>94</v>
      </c>
      <c r="E614" s="72">
        <f>'eoy24'!M551</f>
        <v>0</v>
      </c>
      <c r="F614" s="215"/>
      <c r="G614" s="704"/>
      <c r="H614" s="704"/>
      <c r="I614" s="704"/>
    </row>
    <row r="615" spans="1:9" ht="15" hidden="1" customHeight="1">
      <c r="A615" s="30">
        <f t="shared" ca="1" si="15"/>
        <v>0</v>
      </c>
      <c r="B615" s="72"/>
      <c r="C615" s="63">
        <v>2806</v>
      </c>
      <c r="D615" s="30" t="s">
        <v>95</v>
      </c>
      <c r="E615" s="72">
        <f>'eoy24'!M552</f>
        <v>0</v>
      </c>
      <c r="F615" s="215"/>
      <c r="G615" s="704"/>
      <c r="H615" s="704"/>
      <c r="I615" s="704"/>
    </row>
    <row r="616" spans="1:9" ht="15" hidden="1" customHeight="1">
      <c r="A616" s="30">
        <f t="shared" ca="1" si="15"/>
        <v>0</v>
      </c>
      <c r="B616" s="72"/>
      <c r="C616" s="63">
        <v>2807</v>
      </c>
      <c r="D616" s="30" t="s">
        <v>236</v>
      </c>
      <c r="E616" s="72">
        <f>'eoy24'!M553</f>
        <v>0</v>
      </c>
      <c r="F616" s="215"/>
      <c r="G616" s="704"/>
      <c r="H616" s="704"/>
      <c r="I616" s="704"/>
    </row>
    <row r="617" spans="1:9" ht="15" hidden="1" customHeight="1">
      <c r="A617" s="30">
        <f t="shared" ca="1" si="15"/>
        <v>0</v>
      </c>
      <c r="B617" s="72"/>
      <c r="C617" s="63">
        <v>2808</v>
      </c>
      <c r="D617" s="30" t="s">
        <v>97</v>
      </c>
      <c r="E617" s="72">
        <f>'eoy24'!M554</f>
        <v>0</v>
      </c>
      <c r="F617" s="215"/>
      <c r="G617" s="704"/>
      <c r="H617" s="704"/>
      <c r="I617" s="704"/>
    </row>
    <row r="618" spans="1:9" ht="15" hidden="1" customHeight="1">
      <c r="A618" s="30">
        <f t="shared" ca="1" si="15"/>
        <v>0</v>
      </c>
      <c r="B618" s="72"/>
      <c r="C618" s="63">
        <v>2809</v>
      </c>
      <c r="D618" s="30" t="s">
        <v>910</v>
      </c>
      <c r="E618" s="72">
        <f>'eoy24'!M555</f>
        <v>0</v>
      </c>
      <c r="F618" s="215"/>
      <c r="G618" s="704"/>
      <c r="H618" s="704"/>
      <c r="I618" s="704"/>
    </row>
    <row r="619" spans="1:9" ht="15" hidden="1" customHeight="1">
      <c r="A619" s="30">
        <f t="shared" ca="1" si="15"/>
        <v>0</v>
      </c>
      <c r="B619" s="72"/>
      <c r="C619" s="63">
        <v>2810</v>
      </c>
      <c r="D619" s="30" t="s">
        <v>238</v>
      </c>
      <c r="E619" s="72">
        <f ca="1">'eoy24'!M557</f>
        <v>0</v>
      </c>
      <c r="F619" s="215"/>
      <c r="G619" s="704"/>
      <c r="H619" s="704"/>
      <c r="I619" s="704"/>
    </row>
    <row r="620" spans="1:9" ht="15" hidden="1" customHeight="1">
      <c r="A620" s="30">
        <f t="shared" ca="1" si="15"/>
        <v>0</v>
      </c>
      <c r="B620" s="72"/>
      <c r="C620" s="63">
        <v>2811</v>
      </c>
      <c r="D620" s="30" t="s">
        <v>239</v>
      </c>
      <c r="E620" s="72">
        <f ca="1">'eoy24'!M558</f>
        <v>0</v>
      </c>
      <c r="F620" s="215"/>
      <c r="G620" s="704"/>
      <c r="H620" s="704"/>
      <c r="I620" s="704"/>
    </row>
    <row r="621" spans="1:9" ht="15" hidden="1" customHeight="1">
      <c r="A621" s="30">
        <f t="shared" ca="1" si="15"/>
        <v>0</v>
      </c>
      <c r="B621" s="72"/>
      <c r="C621" s="63">
        <v>2812</v>
      </c>
      <c r="D621" s="30" t="s">
        <v>102</v>
      </c>
      <c r="E621" s="72">
        <f ca="1">'eoy24'!M559</f>
        <v>0</v>
      </c>
      <c r="F621" s="215"/>
      <c r="G621" s="704"/>
      <c r="H621" s="704"/>
      <c r="I621" s="704"/>
    </row>
    <row r="622" spans="1:9" ht="15" hidden="1" customHeight="1">
      <c r="A622" s="30">
        <f t="shared" ca="1" si="15"/>
        <v>0</v>
      </c>
      <c r="B622" s="72"/>
      <c r="C622" s="63">
        <v>2814</v>
      </c>
      <c r="D622" s="30" t="s">
        <v>103</v>
      </c>
      <c r="E622" s="72">
        <f ca="1">'eoy24'!M560</f>
        <v>0</v>
      </c>
      <c r="F622" s="215"/>
      <c r="G622" s="704"/>
      <c r="H622" s="704"/>
      <c r="I622" s="704"/>
    </row>
    <row r="623" spans="1:9" ht="15" hidden="1" customHeight="1">
      <c r="A623" s="30">
        <f t="shared" ca="1" si="15"/>
        <v>0</v>
      </c>
      <c r="B623" s="72"/>
      <c r="C623" s="63">
        <v>2815</v>
      </c>
      <c r="D623" s="30" t="s">
        <v>911</v>
      </c>
      <c r="E623" s="72">
        <f ca="1">'eoy24'!M561</f>
        <v>0</v>
      </c>
      <c r="F623" s="215"/>
      <c r="G623" s="704"/>
      <c r="H623" s="704"/>
      <c r="I623" s="704"/>
    </row>
    <row r="624" spans="1:9" ht="15" hidden="1" customHeight="1">
      <c r="A624" s="30">
        <f t="shared" ca="1" si="15"/>
        <v>0</v>
      </c>
      <c r="B624" s="72"/>
      <c r="C624" s="63">
        <v>2816</v>
      </c>
      <c r="D624" s="30" t="s">
        <v>105</v>
      </c>
      <c r="E624" s="72">
        <f>'eoy24'!M562</f>
        <v>94911</v>
      </c>
      <c r="F624" s="215"/>
      <c r="G624" s="704"/>
      <c r="H624" s="704"/>
      <c r="I624" s="704"/>
    </row>
    <row r="625" spans="1:9" ht="15" hidden="1" customHeight="1">
      <c r="A625" s="30">
        <f t="shared" ca="1" si="15"/>
        <v>0</v>
      </c>
      <c r="B625" s="72"/>
      <c r="C625" s="63">
        <v>2817</v>
      </c>
      <c r="D625" s="30" t="s">
        <v>241</v>
      </c>
      <c r="E625" s="72">
        <f ca="1">'eoy24'!M563</f>
        <v>0</v>
      </c>
      <c r="F625" s="215"/>
      <c r="G625" s="704"/>
      <c r="H625" s="704"/>
      <c r="I625" s="704"/>
    </row>
    <row r="626" spans="1:9" ht="15" hidden="1" customHeight="1">
      <c r="A626" s="30">
        <f t="shared" ca="1" si="15"/>
        <v>0</v>
      </c>
      <c r="B626" s="72"/>
      <c r="C626" s="63">
        <v>2818</v>
      </c>
      <c r="D626" s="30" t="s">
        <v>108</v>
      </c>
      <c r="E626" s="72">
        <f ca="1">'eoy24'!M564</f>
        <v>0</v>
      </c>
      <c r="F626" s="215"/>
      <c r="G626" s="704"/>
      <c r="H626" s="704"/>
      <c r="I626" s="704"/>
    </row>
    <row r="627" spans="1:9" ht="15" hidden="1" customHeight="1">
      <c r="A627" s="30">
        <f t="shared" ca="1" si="15"/>
        <v>0</v>
      </c>
      <c r="B627" s="72"/>
      <c r="C627" s="63">
        <v>2819</v>
      </c>
      <c r="D627" s="30" t="s">
        <v>109</v>
      </c>
      <c r="E627" s="72">
        <f ca="1">'eoy24'!M565</f>
        <v>0</v>
      </c>
      <c r="F627" s="215"/>
      <c r="G627" s="704"/>
      <c r="H627" s="704"/>
      <c r="I627" s="704"/>
    </row>
    <row r="628" spans="1:9" ht="15" hidden="1" customHeight="1">
      <c r="A628" s="30">
        <f t="shared" ca="1" si="15"/>
        <v>0</v>
      </c>
      <c r="B628" s="72"/>
      <c r="C628" s="63">
        <v>2820</v>
      </c>
      <c r="D628" s="30" t="s">
        <v>242</v>
      </c>
      <c r="E628" s="72">
        <f ca="1">'eoy24'!M566</f>
        <v>0</v>
      </c>
      <c r="F628" s="215"/>
      <c r="G628" s="704"/>
      <c r="H628" s="704"/>
      <c r="I628" s="704"/>
    </row>
    <row r="629" spans="1:9" ht="15" hidden="1" customHeight="1">
      <c r="A629" s="30">
        <f t="shared" ca="1" si="15"/>
        <v>0</v>
      </c>
      <c r="B629" s="72"/>
      <c r="C629" s="63">
        <v>2821</v>
      </c>
      <c r="D629" s="30" t="s">
        <v>111</v>
      </c>
      <c r="E629" s="72">
        <f ca="1">'eoy24'!M567</f>
        <v>0</v>
      </c>
      <c r="F629" s="215"/>
      <c r="G629" s="704"/>
      <c r="H629" s="704"/>
      <c r="I629" s="704"/>
    </row>
    <row r="630" spans="1:9" ht="15" hidden="1" customHeight="1">
      <c r="A630" s="30">
        <f t="shared" ca="1" si="15"/>
        <v>0</v>
      </c>
      <c r="B630" s="72"/>
      <c r="C630" s="63">
        <v>2822</v>
      </c>
      <c r="D630" s="30" t="s">
        <v>896</v>
      </c>
      <c r="E630" s="72">
        <f ca="1">'eoy24'!M568</f>
        <v>0</v>
      </c>
      <c r="F630" s="215"/>
      <c r="G630" s="704"/>
      <c r="H630" s="704"/>
      <c r="I630" s="704"/>
    </row>
    <row r="631" spans="1:9" ht="15" hidden="1" customHeight="1">
      <c r="A631" s="30">
        <f t="shared" ca="1" si="15"/>
        <v>0</v>
      </c>
      <c r="B631" s="72"/>
      <c r="C631" s="63">
        <v>2823</v>
      </c>
      <c r="D631" s="30" t="s">
        <v>113</v>
      </c>
      <c r="E631" s="72">
        <f ca="1">'eoy24'!M569</f>
        <v>0</v>
      </c>
      <c r="F631" s="215"/>
      <c r="G631" s="704"/>
      <c r="H631" s="704"/>
      <c r="I631" s="704"/>
    </row>
    <row r="632" spans="1:9" ht="15" hidden="1" customHeight="1">
      <c r="A632" s="30">
        <f t="shared" ca="1" si="15"/>
        <v>0</v>
      </c>
      <c r="B632" s="72"/>
      <c r="C632" s="63">
        <v>2824</v>
      </c>
      <c r="D632" s="30" t="s">
        <v>114</v>
      </c>
      <c r="E632" s="72">
        <f ca="1">'eoy24'!M570</f>
        <v>0</v>
      </c>
      <c r="F632" s="215"/>
      <c r="G632" s="704"/>
      <c r="H632" s="704"/>
      <c r="I632" s="704"/>
    </row>
    <row r="633" spans="1:9" ht="15" hidden="1" customHeight="1">
      <c r="A633" s="30">
        <f t="shared" ca="1" si="15"/>
        <v>0</v>
      </c>
      <c r="B633" s="72"/>
      <c r="C633" s="63">
        <v>2825</v>
      </c>
      <c r="D633" s="30" t="s">
        <v>115</v>
      </c>
      <c r="E633" s="72">
        <f ca="1">'eoy24'!M571</f>
        <v>0</v>
      </c>
      <c r="F633" s="215"/>
      <c r="G633" s="704"/>
      <c r="H633" s="704"/>
      <c r="I633" s="704"/>
    </row>
    <row r="634" spans="1:9" ht="15" hidden="1" customHeight="1">
      <c r="A634" s="30">
        <f t="shared" ca="1" si="15"/>
        <v>0</v>
      </c>
      <c r="B634" s="72"/>
      <c r="C634" s="63">
        <v>2826</v>
      </c>
      <c r="D634" s="30" t="s">
        <v>243</v>
      </c>
      <c r="E634" s="72">
        <f ca="1">'eoy24'!M572</f>
        <v>0</v>
      </c>
      <c r="F634" s="215"/>
      <c r="G634" s="704"/>
      <c r="H634" s="704"/>
      <c r="I634" s="704"/>
    </row>
    <row r="635" spans="1:9" ht="15" hidden="1" customHeight="1">
      <c r="A635" s="30">
        <f t="shared" ca="1" si="15"/>
        <v>0</v>
      </c>
      <c r="B635" s="72"/>
      <c r="C635" s="63">
        <v>2827</v>
      </c>
      <c r="D635" s="30" t="s">
        <v>117</v>
      </c>
      <c r="E635" s="72">
        <f ca="1">'eoy24'!M573</f>
        <v>0</v>
      </c>
      <c r="F635" s="215"/>
      <c r="G635" s="704"/>
      <c r="H635" s="704"/>
      <c r="I635" s="704"/>
    </row>
    <row r="636" spans="1:9" ht="15" hidden="1" customHeight="1">
      <c r="A636" s="30">
        <f t="shared" ca="1" si="15"/>
        <v>0</v>
      </c>
      <c r="B636" s="72"/>
      <c r="C636" s="63">
        <v>2828</v>
      </c>
      <c r="D636" s="30" t="s">
        <v>118</v>
      </c>
      <c r="E636" s="72">
        <f ca="1">'eoy24'!M574</f>
        <v>0</v>
      </c>
      <c r="F636" s="215"/>
      <c r="G636" s="704"/>
      <c r="H636" s="704"/>
      <c r="I636" s="704"/>
    </row>
    <row r="637" spans="1:9" ht="15" hidden="1" customHeight="1">
      <c r="A637" s="30">
        <f t="shared" ca="1" si="15"/>
        <v>0</v>
      </c>
      <c r="B637" s="72"/>
      <c r="C637" s="63">
        <v>2829</v>
      </c>
      <c r="D637" s="30" t="s">
        <v>119</v>
      </c>
      <c r="E637" s="72">
        <f ca="1">'eoy24'!M575</f>
        <v>0</v>
      </c>
      <c r="F637" s="215"/>
      <c r="G637" s="704"/>
      <c r="H637" s="704"/>
      <c r="I637" s="704"/>
    </row>
    <row r="638" spans="1:9" ht="15" hidden="1" customHeight="1">
      <c r="A638" s="30">
        <f t="shared" ca="1" si="15"/>
        <v>0</v>
      </c>
      <c r="B638" s="72"/>
      <c r="C638" s="63">
        <v>2830</v>
      </c>
      <c r="D638" s="30" t="s">
        <v>120</v>
      </c>
      <c r="E638" s="72">
        <f ca="1">'eoy24'!M576</f>
        <v>0</v>
      </c>
      <c r="F638" s="215"/>
      <c r="G638" s="704"/>
      <c r="H638" s="704"/>
      <c r="I638" s="704"/>
    </row>
    <row r="639" spans="1:9" ht="15" hidden="1" customHeight="1">
      <c r="A639" s="30">
        <f t="shared" ca="1" si="15"/>
        <v>0</v>
      </c>
      <c r="B639" s="72"/>
      <c r="C639" s="63">
        <v>2831</v>
      </c>
      <c r="D639" s="30" t="s">
        <v>121</v>
      </c>
      <c r="E639" s="72">
        <f ca="1">'eoy24'!M577</f>
        <v>0</v>
      </c>
      <c r="F639" s="215"/>
      <c r="G639" s="704"/>
      <c r="H639" s="704"/>
      <c r="I639" s="704"/>
    </row>
    <row r="640" spans="1:9" ht="15" hidden="1" customHeight="1">
      <c r="A640" s="30">
        <f t="shared" ca="1" si="15"/>
        <v>0</v>
      </c>
      <c r="B640" s="72"/>
      <c r="C640" s="63">
        <v>2832</v>
      </c>
      <c r="D640" s="30" t="s">
        <v>122</v>
      </c>
      <c r="E640" s="72">
        <f ca="1">'eoy24'!M578</f>
        <v>0</v>
      </c>
      <c r="F640" s="215"/>
      <c r="G640" s="704"/>
      <c r="H640" s="704"/>
      <c r="I640" s="704"/>
    </row>
    <row r="641" spans="1:9" ht="15" hidden="1" customHeight="1">
      <c r="A641" s="30">
        <f t="shared" ca="1" si="15"/>
        <v>0</v>
      </c>
      <c r="B641" s="72"/>
      <c r="C641" s="63">
        <v>2833</v>
      </c>
      <c r="D641" s="30" t="s">
        <v>123</v>
      </c>
      <c r="E641" s="72">
        <f ca="1">'eoy24'!M579</f>
        <v>0</v>
      </c>
      <c r="F641" s="215"/>
      <c r="G641" s="704"/>
      <c r="H641" s="704"/>
      <c r="I641" s="704"/>
    </row>
    <row r="642" spans="1:9" ht="15" hidden="1" customHeight="1">
      <c r="A642" s="30">
        <f t="shared" ca="1" si="15"/>
        <v>0</v>
      </c>
      <c r="B642" s="72"/>
      <c r="C642" s="63">
        <v>2834</v>
      </c>
      <c r="D642" s="30" t="s">
        <v>124</v>
      </c>
      <c r="E642" s="72">
        <f ca="1">'eoy24'!M580</f>
        <v>0</v>
      </c>
      <c r="F642" s="215"/>
      <c r="G642" s="704"/>
      <c r="H642" s="704"/>
      <c r="I642" s="704"/>
    </row>
    <row r="643" spans="1:9" ht="15" hidden="1" customHeight="1">
      <c r="A643" s="30">
        <f t="shared" ca="1" si="15"/>
        <v>0</v>
      </c>
      <c r="B643" s="72"/>
      <c r="C643" s="63">
        <v>2835</v>
      </c>
      <c r="D643" s="30" t="s">
        <v>125</v>
      </c>
      <c r="E643" s="72">
        <f ca="1">'eoy24'!M581</f>
        <v>0</v>
      </c>
      <c r="F643" s="215"/>
      <c r="G643" s="704"/>
      <c r="H643" s="704"/>
      <c r="I643" s="704"/>
    </row>
    <row r="644" spans="1:9" ht="15" hidden="1" customHeight="1">
      <c r="A644" s="30">
        <f t="shared" ca="1" si="15"/>
        <v>0</v>
      </c>
      <c r="B644" s="72"/>
      <c r="C644" s="63">
        <v>2836</v>
      </c>
      <c r="D644" s="30" t="s">
        <v>244</v>
      </c>
      <c r="E644" s="72">
        <f ca="1">'eoy24'!M582</f>
        <v>0</v>
      </c>
      <c r="F644" s="215"/>
      <c r="G644" s="704"/>
      <c r="H644" s="704"/>
      <c r="I644" s="704"/>
    </row>
    <row r="645" spans="1:9" ht="15" hidden="1" customHeight="1">
      <c r="A645" s="30">
        <f t="shared" ca="1" si="15"/>
        <v>0</v>
      </c>
      <c r="B645" s="72"/>
      <c r="C645" s="63">
        <v>2900</v>
      </c>
      <c r="D645" s="30" t="s">
        <v>127</v>
      </c>
      <c r="E645" s="72">
        <f ca="1">'eoy24'!M583</f>
        <v>0</v>
      </c>
      <c r="F645" s="215"/>
      <c r="G645" s="704"/>
      <c r="H645" s="704"/>
      <c r="I645" s="704"/>
    </row>
    <row r="646" spans="1:9" ht="15" hidden="1" customHeight="1">
      <c r="A646" s="30">
        <f t="shared" ca="1" si="15"/>
        <v>0</v>
      </c>
      <c r="B646" s="72"/>
      <c r="C646" s="63">
        <v>2901</v>
      </c>
      <c r="D646" s="30" t="s">
        <v>128</v>
      </c>
      <c r="E646" s="72">
        <f ca="1">'eoy24'!M584</f>
        <v>0</v>
      </c>
      <c r="F646" s="215"/>
      <c r="G646" s="704"/>
      <c r="H646" s="704"/>
      <c r="I646" s="704"/>
    </row>
    <row r="647" spans="1:9" ht="15" hidden="1" customHeight="1">
      <c r="A647" s="30">
        <f t="shared" ca="1" si="15"/>
        <v>0</v>
      </c>
      <c r="B647" s="72"/>
      <c r="C647" s="63">
        <v>2910</v>
      </c>
      <c r="D647" s="30" t="s">
        <v>129</v>
      </c>
      <c r="E647" s="72">
        <f>'eoy24'!M587</f>
        <v>0</v>
      </c>
      <c r="F647" s="215"/>
      <c r="G647" s="704"/>
      <c r="H647" s="704"/>
      <c r="I647" s="704"/>
    </row>
    <row r="648" spans="1:9" ht="15" hidden="1" customHeight="1">
      <c r="A648" s="30">
        <f t="shared" ca="1" si="15"/>
        <v>0</v>
      </c>
      <c r="B648" s="72"/>
      <c r="C648" s="63">
        <v>2920</v>
      </c>
      <c r="D648" s="30" t="s">
        <v>130</v>
      </c>
      <c r="E648" s="72">
        <f>'eoy24'!M588</f>
        <v>0</v>
      </c>
      <c r="F648" s="215"/>
      <c r="G648" s="704"/>
      <c r="H648" s="704"/>
      <c r="I648" s="704"/>
    </row>
    <row r="649" spans="1:9" ht="15" hidden="1" customHeight="1">
      <c r="A649" s="30">
        <f t="shared" ca="1" si="15"/>
        <v>0</v>
      </c>
      <c r="B649" s="72"/>
      <c r="C649" s="63">
        <v>2930</v>
      </c>
      <c r="D649" s="30" t="s">
        <v>131</v>
      </c>
      <c r="E649" s="72">
        <f>'eoy24'!M589</f>
        <v>0</v>
      </c>
      <c r="F649" s="215"/>
      <c r="G649" s="704"/>
      <c r="H649" s="704"/>
      <c r="I649" s="704"/>
    </row>
    <row r="650" spans="1:9" ht="15" hidden="1" customHeight="1">
      <c r="A650" s="30">
        <f t="shared" ca="1" si="15"/>
        <v>0</v>
      </c>
      <c r="B650" s="72"/>
      <c r="C650" s="63">
        <v>2940</v>
      </c>
      <c r="D650" s="30" t="s">
        <v>132</v>
      </c>
      <c r="E650" s="72">
        <f>'eoy24'!M590</f>
        <v>0</v>
      </c>
      <c r="F650" s="215"/>
      <c r="G650" s="704"/>
      <c r="H650" s="704"/>
      <c r="I650" s="704"/>
    </row>
    <row r="651" spans="1:9" ht="15" hidden="1" customHeight="1">
      <c r="A651" s="30">
        <f t="shared" ca="1" si="15"/>
        <v>0</v>
      </c>
      <c r="B651" s="72"/>
      <c r="C651" s="63">
        <v>2950</v>
      </c>
      <c r="D651" s="30" t="s">
        <v>134</v>
      </c>
      <c r="E651" s="72">
        <f>'eoy24'!M591</f>
        <v>0</v>
      </c>
      <c r="F651" s="215"/>
      <c r="G651" s="704"/>
      <c r="H651" s="704"/>
      <c r="I651" s="704"/>
    </row>
    <row r="652" spans="1:9" ht="15" hidden="1" customHeight="1">
      <c r="A652" s="30">
        <f t="shared" ca="1" si="15"/>
        <v>0</v>
      </c>
      <c r="B652" s="72"/>
      <c r="C652" s="63">
        <v>2960</v>
      </c>
      <c r="D652" s="30" t="s">
        <v>246</v>
      </c>
      <c r="E652" s="72">
        <f>'eoy24'!M592</f>
        <v>0</v>
      </c>
      <c r="F652" s="215"/>
      <c r="G652" s="704"/>
      <c r="H652" s="704"/>
      <c r="I652" s="704"/>
    </row>
    <row r="653" spans="1:9" ht="15" hidden="1" customHeight="1">
      <c r="A653" s="30">
        <f t="shared" ca="1" si="15"/>
        <v>0</v>
      </c>
      <c r="B653" s="72"/>
      <c r="C653" s="63">
        <v>2965</v>
      </c>
      <c r="D653" s="30" t="s">
        <v>247</v>
      </c>
      <c r="E653" s="72">
        <f>'eoy24'!M593</f>
        <v>0</v>
      </c>
      <c r="F653" s="215"/>
      <c r="G653" s="704"/>
      <c r="H653" s="704"/>
      <c r="I653" s="704"/>
    </row>
    <row r="654" spans="1:9" ht="15" hidden="1" customHeight="1">
      <c r="A654" s="30">
        <f t="shared" ca="1" si="15"/>
        <v>0</v>
      </c>
      <c r="B654" s="72"/>
      <c r="C654" s="63">
        <v>2971</v>
      </c>
      <c r="D654" s="30" t="s">
        <v>137</v>
      </c>
      <c r="E654" s="72">
        <f>'eoy24'!M594</f>
        <v>0</v>
      </c>
      <c r="F654" s="215"/>
      <c r="G654" s="704"/>
      <c r="H654" s="704"/>
      <c r="I654" s="704"/>
    </row>
    <row r="655" spans="1:9" ht="15" hidden="1" customHeight="1">
      <c r="A655" s="30">
        <f t="shared" ca="1" si="15"/>
        <v>0</v>
      </c>
      <c r="B655" s="72"/>
      <c r="C655" s="63">
        <v>2972</v>
      </c>
      <c r="D655" s="30" t="s">
        <v>138</v>
      </c>
      <c r="E655" s="72">
        <f>'eoy24'!M595</f>
        <v>0</v>
      </c>
      <c r="F655" s="215"/>
      <c r="G655" s="704"/>
      <c r="H655" s="704"/>
      <c r="I655" s="704"/>
    </row>
    <row r="656" spans="1:9" ht="15" hidden="1" customHeight="1">
      <c r="A656" s="30">
        <f t="shared" ca="1" si="15"/>
        <v>0</v>
      </c>
      <c r="B656" s="72"/>
      <c r="C656" s="63">
        <v>2973</v>
      </c>
      <c r="D656" s="30" t="s">
        <v>139</v>
      </c>
      <c r="E656" s="72">
        <f>'eoy24'!M596</f>
        <v>0</v>
      </c>
      <c r="F656" s="215"/>
      <c r="G656" s="704"/>
      <c r="H656" s="704"/>
      <c r="I656" s="704"/>
    </row>
    <row r="657" spans="1:9" ht="15" hidden="1" customHeight="1">
      <c r="A657" s="30">
        <f t="shared" ca="1" si="15"/>
        <v>0</v>
      </c>
      <c r="B657" s="72"/>
      <c r="C657" s="63">
        <v>2974</v>
      </c>
      <c r="D657" s="30" t="s">
        <v>140</v>
      </c>
      <c r="E657" s="72">
        <f>'eoy24'!M597</f>
        <v>0</v>
      </c>
      <c r="F657" s="215"/>
      <c r="G657" s="704"/>
      <c r="H657" s="704"/>
      <c r="I657" s="704"/>
    </row>
    <row r="658" spans="1:9" ht="15" hidden="1" customHeight="1">
      <c r="A658" s="30">
        <f t="shared" ca="1" si="15"/>
        <v>0</v>
      </c>
      <c r="B658" s="72"/>
      <c r="C658" s="63">
        <v>2975</v>
      </c>
      <c r="D658" s="30" t="s">
        <v>141</v>
      </c>
      <c r="E658" s="72">
        <f>'eoy24'!M598</f>
        <v>0</v>
      </c>
      <c r="F658" s="215"/>
      <c r="G658" s="704"/>
      <c r="H658" s="704"/>
      <c r="I658" s="704"/>
    </row>
    <row r="659" spans="1:9" ht="15" hidden="1" customHeight="1">
      <c r="A659" s="30">
        <f t="shared" ca="1" si="15"/>
        <v>0</v>
      </c>
      <c r="B659" s="72"/>
      <c r="C659" s="63">
        <v>2976</v>
      </c>
      <c r="D659" s="30" t="s">
        <v>142</v>
      </c>
      <c r="E659" s="72">
        <f>'eoy24'!M599</f>
        <v>0</v>
      </c>
      <c r="F659" s="215"/>
      <c r="G659" s="704"/>
      <c r="H659" s="704"/>
      <c r="I659" s="704"/>
    </row>
    <row r="660" spans="1:9" ht="15" hidden="1" customHeight="1">
      <c r="A660" s="30">
        <f t="shared" ca="1" si="15"/>
        <v>0</v>
      </c>
      <c r="B660" s="72"/>
      <c r="C660" s="63">
        <v>2977</v>
      </c>
      <c r="D660" s="30" t="s">
        <v>143</v>
      </c>
      <c r="E660" s="72">
        <f>'eoy24'!M600</f>
        <v>0</v>
      </c>
      <c r="F660" s="215"/>
      <c r="G660" s="704"/>
      <c r="H660" s="704"/>
      <c r="I660" s="704"/>
    </row>
    <row r="661" spans="1:9" ht="15" hidden="1" customHeight="1">
      <c r="A661" s="30">
        <f t="shared" ca="1" si="15"/>
        <v>0</v>
      </c>
      <c r="B661" s="72"/>
      <c r="C661" s="63">
        <v>2980</v>
      </c>
      <c r="D661" s="30" t="s">
        <v>248</v>
      </c>
      <c r="E661" s="72">
        <f>'eoy24'!M601</f>
        <v>0</v>
      </c>
      <c r="F661" s="215"/>
      <c r="G661" s="704"/>
      <c r="H661" s="704"/>
      <c r="I661" s="704"/>
    </row>
    <row r="662" spans="1:9" ht="15" hidden="1" customHeight="1">
      <c r="A662" s="30">
        <f t="shared" ca="1" si="15"/>
        <v>0</v>
      </c>
      <c r="B662" s="72"/>
      <c r="C662" s="63">
        <v>2982</v>
      </c>
      <c r="D662" s="30" t="s">
        <v>145</v>
      </c>
      <c r="E662" s="72">
        <f>'eoy24'!M602</f>
        <v>0</v>
      </c>
      <c r="F662" s="215"/>
      <c r="G662" s="704"/>
      <c r="H662" s="704"/>
      <c r="I662" s="704"/>
    </row>
    <row r="663" spans="1:9" ht="15" hidden="1" customHeight="1">
      <c r="A663" s="30">
        <f t="shared" ca="1" si="15"/>
        <v>0</v>
      </c>
      <c r="B663" s="72"/>
      <c r="C663" s="63">
        <v>2984</v>
      </c>
      <c r="D663" s="30" t="s">
        <v>146</v>
      </c>
      <c r="E663" s="72">
        <f>'eoy24'!M603</f>
        <v>0</v>
      </c>
      <c r="F663" s="215"/>
      <c r="G663" s="704"/>
      <c r="H663" s="704"/>
      <c r="I663" s="704"/>
    </row>
    <row r="664" spans="1:9" ht="15" hidden="1" customHeight="1">
      <c r="A664" s="30">
        <f t="shared" ca="1" si="15"/>
        <v>0</v>
      </c>
      <c r="C664" s="63">
        <v>2991</v>
      </c>
      <c r="D664" s="30" t="s">
        <v>147</v>
      </c>
      <c r="E664" s="72">
        <f>'eoy24'!M604</f>
        <v>0</v>
      </c>
      <c r="G664" s="61"/>
    </row>
    <row r="665" spans="1:9" ht="15" hidden="1" customHeight="1">
      <c r="A665" s="30">
        <f t="shared" ca="1" si="15"/>
        <v>0</v>
      </c>
      <c r="C665" s="63">
        <v>2992</v>
      </c>
      <c r="D665" s="30" t="s">
        <v>148</v>
      </c>
      <c r="E665" s="72">
        <f>'eoy24'!M605</f>
        <v>0</v>
      </c>
      <c r="G665" s="61"/>
    </row>
    <row r="666" spans="1:9" ht="15" hidden="1" customHeight="1">
      <c r="A666" s="30">
        <f t="shared" ca="1" si="15"/>
        <v>0</v>
      </c>
      <c r="C666" s="63">
        <v>2993</v>
      </c>
      <c r="D666" s="30" t="s">
        <v>150</v>
      </c>
      <c r="E666" s="72">
        <f>'eoy24'!M606</f>
        <v>0</v>
      </c>
      <c r="G666" s="61"/>
    </row>
    <row r="667" spans="1:9" ht="15" hidden="1" customHeight="1">
      <c r="A667" s="30">
        <f t="shared" ca="1" si="15"/>
        <v>0</v>
      </c>
      <c r="C667" s="63">
        <v>2994</v>
      </c>
      <c r="D667" s="30" t="s">
        <v>151</v>
      </c>
      <c r="E667" s="72">
        <f>'eoy24'!M607</f>
        <v>0</v>
      </c>
      <c r="G667" s="61"/>
    </row>
    <row r="668" spans="1:9" ht="15" hidden="1" customHeight="1">
      <c r="A668" s="30">
        <f t="shared" ca="1" si="15"/>
        <v>0</v>
      </c>
      <c r="C668" s="63">
        <v>2995</v>
      </c>
      <c r="D668" s="30" t="s">
        <v>197</v>
      </c>
      <c r="E668" s="72">
        <f>'eoy24'!M608</f>
        <v>0</v>
      </c>
      <c r="G668" s="61"/>
    </row>
    <row r="669" spans="1:9" ht="15" hidden="1" customHeight="1">
      <c r="A669" s="30">
        <f t="shared" ca="1" si="15"/>
        <v>0</v>
      </c>
      <c r="C669" s="63">
        <v>3012</v>
      </c>
      <c r="D669" s="30" t="s">
        <v>249</v>
      </c>
      <c r="E669" s="72">
        <f>'eoy24'!M609</f>
        <v>0</v>
      </c>
      <c r="G669" s="61"/>
    </row>
    <row r="670" spans="1:9" ht="15" hidden="1" customHeight="1">
      <c r="A670" s="30">
        <f t="shared" ca="1" si="15"/>
        <v>0</v>
      </c>
      <c r="C670" s="63">
        <v>3014</v>
      </c>
      <c r="D670" s="30" t="s">
        <v>250</v>
      </c>
      <c r="E670" s="72">
        <f>'eoy24'!M610</f>
        <v>0</v>
      </c>
      <c r="G670" s="61"/>
    </row>
    <row r="671" spans="1:9" ht="15" hidden="1" customHeight="1">
      <c r="A671" s="30">
        <f t="shared" ca="1" si="15"/>
        <v>0</v>
      </c>
      <c r="C671" s="63">
        <v>3022</v>
      </c>
      <c r="D671" s="30" t="s">
        <v>251</v>
      </c>
      <c r="E671" s="72">
        <f>'eoy24'!M611</f>
        <v>0</v>
      </c>
      <c r="G671" s="61"/>
    </row>
    <row r="672" spans="1:9" ht="15" hidden="1" customHeight="1">
      <c r="A672" s="30">
        <f t="shared" ca="1" si="15"/>
        <v>0</v>
      </c>
      <c r="C672" s="63">
        <v>3024</v>
      </c>
      <c r="D672" s="30" t="s">
        <v>252</v>
      </c>
      <c r="E672" s="72">
        <f>'eoy24'!M612</f>
        <v>0</v>
      </c>
      <c r="G672" s="61"/>
    </row>
    <row r="673" spans="1:7" ht="15" hidden="1" customHeight="1">
      <c r="A673" s="30">
        <f t="shared" ca="1" si="15"/>
        <v>0</v>
      </c>
      <c r="C673" s="63">
        <v>3026</v>
      </c>
      <c r="D673" s="30" t="s">
        <v>158</v>
      </c>
      <c r="E673" s="72">
        <f>'eoy24'!M613</f>
        <v>0</v>
      </c>
      <c r="G673" s="61"/>
    </row>
    <row r="674" spans="1:7" ht="15" hidden="1" customHeight="1">
      <c r="A674" s="30">
        <f t="shared" ca="1" si="15"/>
        <v>0</v>
      </c>
      <c r="C674" s="63">
        <v>3028</v>
      </c>
      <c r="D674" s="30" t="s">
        <v>159</v>
      </c>
      <c r="E674" s="72">
        <f>'eoy24'!M614</f>
        <v>0</v>
      </c>
      <c r="G674" s="61"/>
    </row>
    <row r="675" spans="1:7" ht="15" hidden="1" customHeight="1">
      <c r="A675" s="30">
        <f t="shared" ca="1" si="15"/>
        <v>0</v>
      </c>
      <c r="C675" s="63">
        <v>3030</v>
      </c>
      <c r="D675" s="30" t="s">
        <v>253</v>
      </c>
      <c r="E675" s="72">
        <f>'eoy24'!M615</f>
        <v>0</v>
      </c>
      <c r="G675" s="61"/>
    </row>
    <row r="676" spans="1:7" ht="15" hidden="1" customHeight="1">
      <c r="A676" s="30">
        <f t="shared" ca="1" si="15"/>
        <v>0</v>
      </c>
      <c r="C676" s="63">
        <v>3042</v>
      </c>
      <c r="D676" s="30" t="s">
        <v>254</v>
      </c>
      <c r="E676" s="72">
        <f>'eoy24'!M616</f>
        <v>0</v>
      </c>
      <c r="G676" s="61"/>
    </row>
    <row r="677" spans="1:7" ht="15" hidden="1" customHeight="1">
      <c r="A677" s="30">
        <f t="shared" ref="A677:A691" ca="1" si="16">IF(AND(A$697&gt;0,E677&gt;0),1,0)</f>
        <v>0</v>
      </c>
      <c r="C677" s="63">
        <v>3044</v>
      </c>
      <c r="D677" s="30" t="s">
        <v>255</v>
      </c>
      <c r="E677" s="72">
        <f>'eoy24'!M617</f>
        <v>0</v>
      </c>
      <c r="G677" s="61"/>
    </row>
    <row r="678" spans="1:7" ht="15" hidden="1" customHeight="1">
      <c r="A678" s="30">
        <f t="shared" ca="1" si="16"/>
        <v>0</v>
      </c>
      <c r="C678" s="63">
        <v>3046</v>
      </c>
      <c r="D678" s="30" t="s">
        <v>256</v>
      </c>
      <c r="E678" s="72">
        <f>'eoy24'!M618</f>
        <v>0</v>
      </c>
      <c r="G678" s="61"/>
    </row>
    <row r="679" spans="1:7" ht="15" hidden="1" customHeight="1">
      <c r="A679" s="30">
        <f t="shared" ca="1" si="16"/>
        <v>0</v>
      </c>
      <c r="C679" s="63">
        <v>3048</v>
      </c>
      <c r="D679" s="30" t="s">
        <v>257</v>
      </c>
      <c r="E679" s="72">
        <f>'eoy24'!M619</f>
        <v>0</v>
      </c>
      <c r="G679" s="61"/>
    </row>
    <row r="680" spans="1:7" ht="15" hidden="1" customHeight="1">
      <c r="A680" s="30">
        <f t="shared" ca="1" si="16"/>
        <v>0</v>
      </c>
      <c r="C680" s="63">
        <v>3052</v>
      </c>
      <c r="D680" s="30" t="s">
        <v>165</v>
      </c>
      <c r="E680" s="72">
        <f>'eoy24'!M620</f>
        <v>0</v>
      </c>
      <c r="G680" s="61"/>
    </row>
    <row r="681" spans="1:7" ht="15" hidden="1" customHeight="1">
      <c r="A681" s="30">
        <f t="shared" ca="1" si="16"/>
        <v>0</v>
      </c>
      <c r="C681" s="63">
        <v>3054</v>
      </c>
      <c r="D681" s="30" t="s">
        <v>166</v>
      </c>
      <c r="E681" s="72">
        <f>'eoy24'!M621</f>
        <v>0</v>
      </c>
      <c r="G681" s="61"/>
    </row>
    <row r="682" spans="1:7" ht="15" hidden="1" customHeight="1">
      <c r="A682" s="30">
        <f t="shared" ca="1" si="16"/>
        <v>0</v>
      </c>
      <c r="C682" s="63">
        <v>3056</v>
      </c>
      <c r="D682" s="30" t="s">
        <v>167</v>
      </c>
      <c r="E682" s="72">
        <f>'eoy24'!M622</f>
        <v>0</v>
      </c>
      <c r="G682" s="61"/>
    </row>
    <row r="683" spans="1:7" ht="15" hidden="1" customHeight="1">
      <c r="A683" s="30">
        <f t="shared" ca="1" si="16"/>
        <v>0</v>
      </c>
      <c r="C683" s="63">
        <v>3058</v>
      </c>
      <c r="D683" s="30" t="s">
        <v>168</v>
      </c>
      <c r="E683" s="72">
        <f>'eoy24'!M623</f>
        <v>0</v>
      </c>
      <c r="G683" s="61"/>
    </row>
    <row r="684" spans="1:7" ht="15" hidden="1" customHeight="1">
      <c r="A684" s="30">
        <f t="shared" ca="1" si="16"/>
        <v>0</v>
      </c>
      <c r="C684" s="63">
        <v>3062</v>
      </c>
      <c r="D684" s="30" t="s">
        <v>170</v>
      </c>
      <c r="E684" s="72">
        <f>'eoy24'!M624</f>
        <v>0</v>
      </c>
      <c r="G684" s="61"/>
    </row>
    <row r="685" spans="1:7" ht="15" hidden="1" customHeight="1">
      <c r="A685" s="30">
        <f t="shared" ca="1" si="16"/>
        <v>0</v>
      </c>
      <c r="C685" s="63">
        <v>3064</v>
      </c>
      <c r="D685" s="30" t="s">
        <v>171</v>
      </c>
      <c r="E685" s="72">
        <f>'eoy24'!M625</f>
        <v>0</v>
      </c>
      <c r="G685" s="61"/>
    </row>
    <row r="686" spans="1:7" ht="15" hidden="1" customHeight="1">
      <c r="A686" s="30">
        <f t="shared" ca="1" si="16"/>
        <v>0</v>
      </c>
      <c r="C686" s="63">
        <v>3066</v>
      </c>
      <c r="D686" s="30" t="s">
        <v>172</v>
      </c>
      <c r="E686" s="72">
        <f>'eoy24'!M626</f>
        <v>0</v>
      </c>
    </row>
    <row r="687" spans="1:7" ht="15" hidden="1" customHeight="1">
      <c r="A687" s="30">
        <f t="shared" ca="1" si="16"/>
        <v>0</v>
      </c>
      <c r="C687" s="63">
        <v>3072</v>
      </c>
      <c r="D687" s="30" t="s">
        <v>174</v>
      </c>
      <c r="E687" s="72">
        <f>'eoy24'!M627</f>
        <v>0</v>
      </c>
    </row>
    <row r="688" spans="1:7" ht="15" hidden="1" customHeight="1">
      <c r="A688" s="30">
        <f t="shared" ca="1" si="16"/>
        <v>0</v>
      </c>
      <c r="C688" s="63">
        <v>3075</v>
      </c>
      <c r="D688" s="30" t="s">
        <v>177</v>
      </c>
      <c r="E688" s="72">
        <f>'eoy24'!M628</f>
        <v>0</v>
      </c>
    </row>
    <row r="689" spans="1:9" ht="15" hidden="1" customHeight="1">
      <c r="A689" s="30">
        <f t="shared" ca="1" si="16"/>
        <v>0</v>
      </c>
      <c r="C689" s="63">
        <v>3076</v>
      </c>
      <c r="D689" s="30" t="s">
        <v>179</v>
      </c>
      <c r="E689" s="72">
        <f>'eoy24'!M629</f>
        <v>0</v>
      </c>
    </row>
    <row r="690" spans="1:9" ht="15" hidden="1" customHeight="1">
      <c r="A690" s="30">
        <f t="shared" ca="1" si="16"/>
        <v>0</v>
      </c>
      <c r="C690" s="63">
        <v>3077</v>
      </c>
      <c r="D690" s="30" t="s">
        <v>180</v>
      </c>
      <c r="E690" s="72">
        <f>'eoy24'!M630</f>
        <v>0</v>
      </c>
    </row>
    <row r="691" spans="1:9" ht="15" hidden="1" customHeight="1">
      <c r="A691" s="30">
        <f t="shared" ca="1" si="16"/>
        <v>0</v>
      </c>
      <c r="C691" s="63">
        <v>3078</v>
      </c>
      <c r="D691" s="30" t="s">
        <v>181</v>
      </c>
      <c r="E691" s="72">
        <f>'eoy24'!M631</f>
        <v>0</v>
      </c>
    </row>
    <row r="692" spans="1:9" ht="32.25" hidden="1" customHeight="1">
      <c r="A692" s="30">
        <f ca="1">IF(AND(A$697&gt;0,I692&gt;0),1,0)</f>
        <v>0</v>
      </c>
      <c r="C692" s="30"/>
      <c r="G692" s="21">
        <v>630</v>
      </c>
      <c r="H692" s="30" t="s">
        <v>929</v>
      </c>
      <c r="I692" s="30">
        <f>'eoy24'!J48</f>
        <v>94911</v>
      </c>
    </row>
    <row r="693" spans="1:9" ht="15" hidden="1" customHeight="1">
      <c r="A693" s="30">
        <f ca="1">IF(AND(A$697&gt;0,I693&gt;0),1,0)</f>
        <v>0</v>
      </c>
      <c r="C693" s="63"/>
      <c r="G693" s="21">
        <v>640</v>
      </c>
      <c r="H693" s="30" t="s">
        <v>930</v>
      </c>
      <c r="I693" s="30">
        <f>'eoy24'!E49</f>
        <v>0</v>
      </c>
    </row>
    <row r="694" spans="1:9" ht="15" hidden="1" customHeight="1">
      <c r="A694" s="30">
        <f ca="1">IF(AND(A$697&gt;0,I694&gt;0),1,0)</f>
        <v>0</v>
      </c>
      <c r="C694" s="119"/>
      <c r="G694" s="21">
        <v>640</v>
      </c>
      <c r="H694" s="30" t="s">
        <v>931</v>
      </c>
      <c r="I694" s="30">
        <f>'eoy24'!F49</f>
        <v>0</v>
      </c>
    </row>
    <row r="695" spans="1:9" ht="15" hidden="1" customHeight="1">
      <c r="A695" s="30">
        <f ca="1">IF(AND(A$697&gt;0,I695&gt;0),1,0)</f>
        <v>0</v>
      </c>
      <c r="G695" s="21">
        <v>640</v>
      </c>
      <c r="H695" s="30" t="s">
        <v>932</v>
      </c>
      <c r="I695" s="30">
        <f>'eoy24'!G49</f>
        <v>0</v>
      </c>
    </row>
    <row r="696" spans="1:9" ht="15" hidden="1" customHeight="1">
      <c r="A696" s="30">
        <f ca="1">IF(AND(A$697&gt;0,I696&gt;0),1,0)</f>
        <v>0</v>
      </c>
      <c r="G696" s="21">
        <v>640</v>
      </c>
      <c r="H696" s="30" t="s">
        <v>933</v>
      </c>
      <c r="I696" s="30">
        <f>'eoy24'!I49</f>
        <v>0</v>
      </c>
    </row>
    <row r="697" spans="1:9" ht="32.25" hidden="1" customHeight="1">
      <c r="A697" s="120">
        <f ca="1">IF(OR(AND(E697&gt;0,I697=0),AND(E697=0,I697&gt;0)),1,0)</f>
        <v>0</v>
      </c>
      <c r="B697" s="120"/>
      <c r="C697" s="119" t="s">
        <v>899</v>
      </c>
      <c r="D697" s="120" t="s">
        <v>934</v>
      </c>
      <c r="E697" s="120">
        <f ca="1">'eoy24'!M632</f>
        <v>94911</v>
      </c>
      <c r="F697" s="120"/>
      <c r="G697" s="527" t="s">
        <v>935</v>
      </c>
      <c r="H697" s="527" t="s">
        <v>936</v>
      </c>
      <c r="I697" s="120">
        <f>SUM(I692:I696)</f>
        <v>94911</v>
      </c>
    </row>
    <row r="698" spans="1:9" ht="15" hidden="1" customHeight="1">
      <c r="A698" s="30">
        <f>IF(A$755=1,1,0)</f>
        <v>0</v>
      </c>
      <c r="C698" s="702" t="s">
        <v>937</v>
      </c>
      <c r="D698" s="527"/>
      <c r="E698" s="527"/>
      <c r="F698" s="527"/>
      <c r="G698" s="216" t="s">
        <v>938</v>
      </c>
      <c r="H698" s="527"/>
      <c r="I698" s="527"/>
    </row>
    <row r="699" spans="1:9" ht="15" hidden="1" customHeight="1">
      <c r="A699" s="30">
        <f>IF(A$755=1,1,0)</f>
        <v>0</v>
      </c>
      <c r="B699" s="72"/>
      <c r="C699" s="122" t="s">
        <v>939</v>
      </c>
      <c r="D699" s="704"/>
      <c r="E699" s="704"/>
      <c r="F699" s="215"/>
      <c r="G699" s="706" t="s">
        <v>940</v>
      </c>
      <c r="H699" s="704"/>
      <c r="I699" s="704"/>
    </row>
    <row r="700" spans="1:9" ht="15" hidden="1" customHeight="1">
      <c r="A700" s="30">
        <f>IF(A$755=1,1,0)</f>
        <v>0</v>
      </c>
      <c r="B700" s="72"/>
      <c r="C700" s="703" t="s">
        <v>38</v>
      </c>
      <c r="D700" s="704" t="s">
        <v>895</v>
      </c>
      <c r="E700" s="704" t="s">
        <v>864</v>
      </c>
      <c r="F700" s="215"/>
      <c r="G700" s="704" t="s">
        <v>38</v>
      </c>
      <c r="H700" s="704" t="s">
        <v>863</v>
      </c>
      <c r="I700" s="704" t="s">
        <v>864</v>
      </c>
    </row>
    <row r="701" spans="1:9" ht="15" hidden="1" customHeight="1">
      <c r="A701" s="30">
        <f>IF(AND(A$755&gt;0,E701&gt;0),1,0)</f>
        <v>0</v>
      </c>
      <c r="B701" s="72"/>
      <c r="C701" s="63">
        <v>2801</v>
      </c>
      <c r="D701" s="30" t="s">
        <v>83</v>
      </c>
      <c r="E701" s="72">
        <f>'eoy24'!O547</f>
        <v>0</v>
      </c>
      <c r="F701" s="215"/>
      <c r="G701" s="704"/>
      <c r="H701" s="704"/>
      <c r="I701" s="704"/>
    </row>
    <row r="702" spans="1:9" ht="15" hidden="1" customHeight="1">
      <c r="A702" s="30">
        <f t="shared" ref="A702:A754" si="17">IF(AND(A$755&gt;0,E702&gt;0),1,0)</f>
        <v>0</v>
      </c>
      <c r="B702" s="72"/>
      <c r="C702" s="63">
        <v>2802</v>
      </c>
      <c r="D702" s="30" t="s">
        <v>90</v>
      </c>
      <c r="E702" s="72">
        <f>'eoy24'!O548</f>
        <v>0</v>
      </c>
      <c r="F702" s="215"/>
      <c r="G702" s="704"/>
      <c r="H702" s="704"/>
      <c r="I702" s="704"/>
    </row>
    <row r="703" spans="1:9" ht="15" hidden="1" customHeight="1">
      <c r="A703" s="30">
        <f t="shared" si="17"/>
        <v>0</v>
      </c>
      <c r="B703" s="72"/>
      <c r="C703" s="63">
        <v>2803</v>
      </c>
      <c r="D703" s="30" t="s">
        <v>92</v>
      </c>
      <c r="E703" s="72">
        <f>'eoy24'!O549</f>
        <v>0</v>
      </c>
      <c r="F703" s="215"/>
      <c r="G703" s="704"/>
      <c r="H703" s="704"/>
      <c r="I703" s="704"/>
    </row>
    <row r="704" spans="1:9" ht="15" hidden="1" customHeight="1">
      <c r="A704" s="30">
        <f t="shared" si="17"/>
        <v>0</v>
      </c>
      <c r="B704" s="72"/>
      <c r="C704" s="63">
        <v>2804</v>
      </c>
      <c r="D704" s="30" t="s">
        <v>93</v>
      </c>
      <c r="E704" s="72">
        <f>'eoy24'!O550</f>
        <v>0</v>
      </c>
      <c r="F704" s="215"/>
      <c r="G704" s="704"/>
      <c r="H704" s="704"/>
      <c r="I704" s="704"/>
    </row>
    <row r="705" spans="1:14" ht="15" hidden="1" customHeight="1">
      <c r="A705" s="30">
        <f t="shared" si="17"/>
        <v>0</v>
      </c>
      <c r="B705" s="72"/>
      <c r="C705" s="63">
        <v>2805</v>
      </c>
      <c r="D705" s="30" t="s">
        <v>94</v>
      </c>
      <c r="E705" s="72">
        <f>'eoy24'!O551</f>
        <v>0</v>
      </c>
      <c r="F705" s="215"/>
      <c r="G705" s="704"/>
      <c r="H705" s="704"/>
      <c r="I705" s="704"/>
    </row>
    <row r="706" spans="1:14" ht="15" hidden="1" customHeight="1">
      <c r="A706" s="30">
        <f t="shared" si="17"/>
        <v>0</v>
      </c>
      <c r="B706" s="72"/>
      <c r="C706" s="63">
        <v>2806</v>
      </c>
      <c r="D706" s="30" t="s">
        <v>95</v>
      </c>
      <c r="E706" s="72">
        <f>'eoy24'!O552</f>
        <v>0</v>
      </c>
      <c r="F706" s="215"/>
      <c r="G706" s="704"/>
      <c r="H706" s="704"/>
      <c r="I706" s="704"/>
    </row>
    <row r="707" spans="1:14" ht="15" hidden="1" customHeight="1">
      <c r="A707" s="30">
        <f t="shared" si="17"/>
        <v>0</v>
      </c>
      <c r="B707" s="72"/>
      <c r="C707" s="63">
        <v>2807</v>
      </c>
      <c r="D707" s="30" t="s">
        <v>236</v>
      </c>
      <c r="E707" s="72">
        <f>'eoy24'!O553</f>
        <v>0</v>
      </c>
      <c r="F707" s="215"/>
      <c r="G707" s="704"/>
      <c r="H707" s="704"/>
      <c r="I707" s="704"/>
    </row>
    <row r="708" spans="1:14" ht="15" hidden="1" customHeight="1">
      <c r="A708" s="30">
        <f t="shared" si="17"/>
        <v>0</v>
      </c>
      <c r="B708" s="72"/>
      <c r="C708" s="63">
        <v>2808</v>
      </c>
      <c r="D708" s="30" t="s">
        <v>97</v>
      </c>
      <c r="E708" s="72">
        <f>'eoy24'!O554</f>
        <v>0</v>
      </c>
      <c r="F708" s="215"/>
      <c r="G708" s="704"/>
      <c r="H708" s="704"/>
      <c r="I708" s="704"/>
    </row>
    <row r="709" spans="1:14" ht="15" hidden="1" customHeight="1">
      <c r="A709" s="30">
        <f t="shared" si="17"/>
        <v>0</v>
      </c>
      <c r="B709" s="72"/>
      <c r="C709" s="63">
        <v>2809</v>
      </c>
      <c r="D709" s="30" t="s">
        <v>910</v>
      </c>
      <c r="E709" s="72">
        <f>'eoy24'!O555</f>
        <v>0</v>
      </c>
      <c r="F709" s="215"/>
      <c r="G709" s="704"/>
      <c r="H709" s="704"/>
      <c r="I709" s="704"/>
    </row>
    <row r="710" spans="1:14" ht="15" hidden="1" customHeight="1">
      <c r="A710" s="30">
        <f t="shared" si="17"/>
        <v>0</v>
      </c>
      <c r="B710" s="72"/>
      <c r="C710" s="63">
        <v>2910</v>
      </c>
      <c r="D710" s="30" t="s">
        <v>129</v>
      </c>
      <c r="E710" s="72">
        <f>'eoy24'!O587</f>
        <v>0</v>
      </c>
      <c r="F710" s="215"/>
      <c r="G710" s="704"/>
      <c r="H710" s="704"/>
      <c r="I710" s="704"/>
    </row>
    <row r="711" spans="1:14" ht="15" hidden="1" customHeight="1">
      <c r="A711" s="30">
        <f t="shared" si="17"/>
        <v>0</v>
      </c>
      <c r="B711" s="72"/>
      <c r="C711" s="63">
        <v>2920</v>
      </c>
      <c r="D711" s="30" t="s">
        <v>130</v>
      </c>
      <c r="E711" s="72">
        <f>'eoy24'!O588</f>
        <v>0</v>
      </c>
      <c r="F711" s="215"/>
      <c r="G711" s="704"/>
      <c r="H711" s="704"/>
      <c r="I711" s="704"/>
    </row>
    <row r="712" spans="1:14" ht="15" hidden="1" customHeight="1">
      <c r="A712" s="30">
        <f t="shared" si="17"/>
        <v>0</v>
      </c>
      <c r="B712" s="72"/>
      <c r="C712" s="63">
        <v>2930</v>
      </c>
      <c r="D712" s="30" t="s">
        <v>131</v>
      </c>
      <c r="E712" s="72">
        <f>'eoy24'!O589</f>
        <v>0</v>
      </c>
      <c r="F712" s="215"/>
      <c r="G712" s="704"/>
      <c r="H712" s="704"/>
      <c r="I712" s="704"/>
    </row>
    <row r="713" spans="1:14" ht="15" hidden="1" customHeight="1">
      <c r="A713" s="30">
        <f t="shared" si="17"/>
        <v>0</v>
      </c>
      <c r="B713" s="72"/>
      <c r="C713" s="63">
        <v>2940</v>
      </c>
      <c r="D713" s="30" t="s">
        <v>132</v>
      </c>
      <c r="E713" s="72">
        <f>'eoy24'!O590</f>
        <v>0</v>
      </c>
      <c r="F713" s="215"/>
      <c r="G713" s="704"/>
      <c r="H713" s="704"/>
      <c r="I713" s="704"/>
    </row>
    <row r="714" spans="1:14" ht="15" hidden="1" customHeight="1">
      <c r="A714" s="30">
        <f t="shared" si="17"/>
        <v>0</v>
      </c>
      <c r="B714" s="72"/>
      <c r="C714" s="63">
        <v>2950</v>
      </c>
      <c r="D714" s="30" t="s">
        <v>134</v>
      </c>
      <c r="E714" s="72">
        <f>'eoy24'!O591</f>
        <v>0</v>
      </c>
      <c r="F714" s="215"/>
      <c r="G714" s="704"/>
      <c r="H714" s="704"/>
      <c r="I714" s="704"/>
    </row>
    <row r="715" spans="1:14" ht="15" hidden="1" customHeight="1">
      <c r="A715" s="30">
        <f t="shared" si="17"/>
        <v>0</v>
      </c>
      <c r="B715" s="72"/>
      <c r="C715" s="63">
        <v>2960</v>
      </c>
      <c r="D715" s="30" t="s">
        <v>246</v>
      </c>
      <c r="E715" s="72">
        <f>'eoy24'!O592</f>
        <v>0</v>
      </c>
      <c r="F715" s="215"/>
      <c r="G715" s="704"/>
      <c r="H715" s="704"/>
      <c r="I715" s="704"/>
      <c r="M715" s="18"/>
      <c r="N715" s="18"/>
    </row>
    <row r="716" spans="1:14" ht="15" hidden="1" customHeight="1">
      <c r="A716" s="30">
        <f t="shared" si="17"/>
        <v>0</v>
      </c>
      <c r="B716" s="72"/>
      <c r="C716" s="63">
        <v>2965</v>
      </c>
      <c r="D716" s="30" t="s">
        <v>247</v>
      </c>
      <c r="E716" s="72">
        <f>'eoy24'!O593</f>
        <v>0</v>
      </c>
      <c r="F716" s="215"/>
      <c r="G716" s="704"/>
      <c r="H716" s="704"/>
      <c r="I716" s="704"/>
      <c r="M716" s="18"/>
      <c r="N716" s="18"/>
    </row>
    <row r="717" spans="1:14" ht="15" hidden="1" customHeight="1">
      <c r="A717" s="30">
        <f t="shared" si="17"/>
        <v>0</v>
      </c>
      <c r="B717" s="72"/>
      <c r="C717" s="63">
        <v>2971</v>
      </c>
      <c r="D717" s="30" t="s">
        <v>137</v>
      </c>
      <c r="E717" s="72">
        <f>'eoy24'!O594</f>
        <v>0</v>
      </c>
      <c r="F717" s="215"/>
      <c r="G717" s="704"/>
      <c r="H717" s="704"/>
      <c r="I717" s="704"/>
      <c r="M717" s="18"/>
      <c r="N717" s="18"/>
    </row>
    <row r="718" spans="1:14" ht="15" hidden="1" customHeight="1">
      <c r="A718" s="30">
        <f t="shared" si="17"/>
        <v>0</v>
      </c>
      <c r="B718" s="72"/>
      <c r="C718" s="63">
        <v>2972</v>
      </c>
      <c r="D718" s="30" t="s">
        <v>138</v>
      </c>
      <c r="E718" s="72">
        <f>'eoy24'!O595</f>
        <v>0</v>
      </c>
      <c r="F718" s="215"/>
      <c r="G718" s="704"/>
      <c r="H718" s="704"/>
      <c r="I718" s="704"/>
      <c r="M718" s="18"/>
      <c r="N718" s="18"/>
    </row>
    <row r="719" spans="1:14" ht="15" hidden="1" customHeight="1">
      <c r="A719" s="30">
        <f t="shared" si="17"/>
        <v>0</v>
      </c>
      <c r="B719" s="72"/>
      <c r="C719" s="63">
        <v>2973</v>
      </c>
      <c r="D719" s="30" t="s">
        <v>139</v>
      </c>
      <c r="E719" s="72">
        <f>'eoy24'!O596</f>
        <v>0</v>
      </c>
      <c r="F719" s="215"/>
      <c r="G719" s="704"/>
      <c r="H719" s="704"/>
      <c r="I719" s="704"/>
      <c r="M719" s="18"/>
      <c r="N719" s="18"/>
    </row>
    <row r="720" spans="1:14" ht="15" hidden="1" customHeight="1">
      <c r="A720" s="30">
        <f t="shared" si="17"/>
        <v>0</v>
      </c>
      <c r="B720" s="72"/>
      <c r="C720" s="63">
        <v>2974</v>
      </c>
      <c r="D720" s="30" t="s">
        <v>140</v>
      </c>
      <c r="E720" s="72">
        <f>'eoy24'!O597</f>
        <v>0</v>
      </c>
      <c r="F720" s="215"/>
      <c r="G720" s="704"/>
      <c r="H720" s="704"/>
      <c r="I720" s="704"/>
      <c r="M720" s="18"/>
      <c r="N720" s="18"/>
    </row>
    <row r="721" spans="1:14" ht="15.75" hidden="1" customHeight="1">
      <c r="A721" s="30">
        <f t="shared" si="17"/>
        <v>0</v>
      </c>
      <c r="B721" s="72"/>
      <c r="C721" s="63">
        <v>2975</v>
      </c>
      <c r="D721" s="30" t="s">
        <v>141</v>
      </c>
      <c r="E721" s="72">
        <f>'eoy24'!O598</f>
        <v>0</v>
      </c>
      <c r="F721" s="215"/>
      <c r="G721" s="704"/>
      <c r="H721" s="704"/>
      <c r="I721" s="704"/>
      <c r="M721" s="18"/>
      <c r="N721" s="18"/>
    </row>
    <row r="722" spans="1:14" ht="18.75" hidden="1" customHeight="1">
      <c r="A722" s="30">
        <f t="shared" si="17"/>
        <v>0</v>
      </c>
      <c r="B722" s="72"/>
      <c r="C722" s="63">
        <v>2976</v>
      </c>
      <c r="D722" s="30" t="s">
        <v>142</v>
      </c>
      <c r="E722" s="72">
        <f>'eoy24'!O599</f>
        <v>0</v>
      </c>
      <c r="F722" s="215"/>
      <c r="G722" s="704"/>
      <c r="H722" s="704"/>
      <c r="I722" s="704"/>
      <c r="M722" s="18"/>
      <c r="N722" s="18"/>
    </row>
    <row r="723" spans="1:14" hidden="1">
      <c r="A723" s="30">
        <f t="shared" si="17"/>
        <v>0</v>
      </c>
      <c r="B723" s="72"/>
      <c r="C723" s="63">
        <v>2977</v>
      </c>
      <c r="D723" s="30" t="s">
        <v>143</v>
      </c>
      <c r="E723" s="72">
        <f>'eoy24'!O600</f>
        <v>0</v>
      </c>
      <c r="F723" s="215"/>
      <c r="G723" s="704"/>
      <c r="H723" s="704"/>
      <c r="I723" s="704"/>
      <c r="M723" s="18"/>
      <c r="N723" s="18"/>
    </row>
    <row r="724" spans="1:14" hidden="1">
      <c r="A724" s="30">
        <f t="shared" si="17"/>
        <v>0</v>
      </c>
      <c r="B724" s="72"/>
      <c r="C724" s="63">
        <v>2980</v>
      </c>
      <c r="D724" s="30" t="s">
        <v>248</v>
      </c>
      <c r="E724" s="72">
        <f>'eoy24'!O601</f>
        <v>0</v>
      </c>
      <c r="F724" s="215"/>
      <c r="G724" s="704"/>
      <c r="H724" s="704"/>
      <c r="I724" s="704"/>
      <c r="M724" s="18"/>
      <c r="N724" s="18"/>
    </row>
    <row r="725" spans="1:14" hidden="1">
      <c r="A725" s="30">
        <f t="shared" si="17"/>
        <v>0</v>
      </c>
      <c r="B725" s="72"/>
      <c r="C725" s="63">
        <v>2982</v>
      </c>
      <c r="D725" s="30" t="s">
        <v>145</v>
      </c>
      <c r="E725" s="72">
        <f>'eoy24'!O602</f>
        <v>0</v>
      </c>
      <c r="F725" s="215"/>
      <c r="G725" s="704"/>
      <c r="H725" s="704"/>
      <c r="I725" s="704"/>
      <c r="M725" s="18"/>
      <c r="N725" s="18"/>
    </row>
    <row r="726" spans="1:14" hidden="1">
      <c r="A726" s="30">
        <f t="shared" si="17"/>
        <v>0</v>
      </c>
      <c r="B726" s="72"/>
      <c r="C726" s="63">
        <v>2984</v>
      </c>
      <c r="D726" s="30" t="s">
        <v>146</v>
      </c>
      <c r="E726" s="72">
        <f>'eoy24'!O603</f>
        <v>0</v>
      </c>
      <c r="F726" s="215"/>
      <c r="G726" s="704"/>
      <c r="H726" s="704"/>
      <c r="I726" s="704"/>
      <c r="M726" s="18"/>
      <c r="N726" s="18"/>
    </row>
    <row r="727" spans="1:14" ht="14.25" hidden="1" customHeight="1">
      <c r="A727" s="30">
        <f t="shared" si="17"/>
        <v>0</v>
      </c>
      <c r="B727" s="72"/>
      <c r="C727" s="63">
        <v>2991</v>
      </c>
      <c r="D727" s="30" t="s">
        <v>147</v>
      </c>
      <c r="E727" s="72">
        <f>'eoy24'!O604</f>
        <v>0</v>
      </c>
      <c r="F727" s="215"/>
      <c r="G727" s="704"/>
      <c r="H727" s="704"/>
      <c r="I727" s="704"/>
      <c r="M727" s="18"/>
      <c r="N727" s="18"/>
    </row>
    <row r="728" spans="1:14" ht="14.25" hidden="1" customHeight="1">
      <c r="A728" s="30">
        <f t="shared" si="17"/>
        <v>0</v>
      </c>
      <c r="B728" s="72"/>
      <c r="C728" s="63">
        <v>2992</v>
      </c>
      <c r="D728" s="30" t="s">
        <v>148</v>
      </c>
      <c r="E728" s="72">
        <f>'eoy24'!O605</f>
        <v>0</v>
      </c>
      <c r="F728" s="215"/>
      <c r="G728" s="704"/>
      <c r="H728" s="704"/>
      <c r="I728" s="704"/>
      <c r="M728" s="18"/>
      <c r="N728" s="18"/>
    </row>
    <row r="729" spans="1:14" ht="15" hidden="1" customHeight="1">
      <c r="A729" s="30">
        <f t="shared" si="17"/>
        <v>0</v>
      </c>
      <c r="B729" s="72"/>
      <c r="C729" s="63">
        <v>2993</v>
      </c>
      <c r="D729" s="30" t="s">
        <v>150</v>
      </c>
      <c r="E729" s="72">
        <f>'eoy24'!O606</f>
        <v>0</v>
      </c>
      <c r="F729" s="215"/>
      <c r="G729" s="704"/>
      <c r="H729" s="704"/>
      <c r="I729" s="704"/>
      <c r="M729" s="18"/>
      <c r="N729" s="18"/>
    </row>
    <row r="730" spans="1:14" ht="15" hidden="1" customHeight="1">
      <c r="A730" s="30">
        <f t="shared" si="17"/>
        <v>0</v>
      </c>
      <c r="B730" s="72"/>
      <c r="C730" s="63">
        <v>2994</v>
      </c>
      <c r="D730" s="30" t="s">
        <v>151</v>
      </c>
      <c r="E730" s="72">
        <f>'eoy24'!O607</f>
        <v>0</v>
      </c>
      <c r="F730" s="215"/>
      <c r="G730" s="704"/>
      <c r="H730" s="704"/>
      <c r="I730" s="704"/>
      <c r="M730" s="18"/>
      <c r="N730" s="18"/>
    </row>
    <row r="731" spans="1:14" ht="15" hidden="1" customHeight="1">
      <c r="A731" s="30">
        <f t="shared" si="17"/>
        <v>0</v>
      </c>
      <c r="C731" s="63">
        <v>2995</v>
      </c>
      <c r="D731" s="30" t="s">
        <v>197</v>
      </c>
      <c r="E731" s="72">
        <f>'eoy24'!O608</f>
        <v>0</v>
      </c>
      <c r="G731" s="61"/>
      <c r="M731" s="18"/>
      <c r="N731" s="18"/>
    </row>
    <row r="732" spans="1:14" ht="15" hidden="1" customHeight="1">
      <c r="A732" s="30">
        <f t="shared" si="17"/>
        <v>0</v>
      </c>
      <c r="C732" s="63">
        <v>3012</v>
      </c>
      <c r="D732" s="30" t="s">
        <v>249</v>
      </c>
      <c r="E732" s="72">
        <f>'eoy24'!O609</f>
        <v>0</v>
      </c>
      <c r="G732" s="61"/>
      <c r="M732" s="18"/>
      <c r="N732" s="18"/>
    </row>
    <row r="733" spans="1:14" ht="15" hidden="1" customHeight="1">
      <c r="A733" s="30">
        <f t="shared" si="17"/>
        <v>0</v>
      </c>
      <c r="C733" s="63">
        <v>3014</v>
      </c>
      <c r="D733" s="30" t="s">
        <v>250</v>
      </c>
      <c r="E733" s="72">
        <f>'eoy24'!O610</f>
        <v>0</v>
      </c>
      <c r="G733" s="61"/>
    </row>
    <row r="734" spans="1:14" ht="15" hidden="1" customHeight="1">
      <c r="A734" s="30">
        <f t="shared" si="17"/>
        <v>0</v>
      </c>
      <c r="C734" s="63">
        <v>3022</v>
      </c>
      <c r="D734" s="30" t="s">
        <v>251</v>
      </c>
      <c r="E734" s="72">
        <f>'eoy24'!O611</f>
        <v>0</v>
      </c>
      <c r="G734" s="61"/>
    </row>
    <row r="735" spans="1:14" ht="15" hidden="1" customHeight="1">
      <c r="A735" s="30">
        <f t="shared" si="17"/>
        <v>0</v>
      </c>
      <c r="C735" s="63">
        <v>3024</v>
      </c>
      <c r="D735" s="30" t="s">
        <v>252</v>
      </c>
      <c r="E735" s="72">
        <f>'eoy24'!O612</f>
        <v>0</v>
      </c>
      <c r="G735" s="61"/>
    </row>
    <row r="736" spans="1:14" ht="15" hidden="1" customHeight="1">
      <c r="A736" s="30">
        <f t="shared" si="17"/>
        <v>0</v>
      </c>
      <c r="C736" s="63">
        <v>3026</v>
      </c>
      <c r="D736" s="30" t="s">
        <v>158</v>
      </c>
      <c r="E736" s="72">
        <f>'eoy24'!O613</f>
        <v>0</v>
      </c>
      <c r="G736" s="61"/>
    </row>
    <row r="737" spans="1:14" ht="15" hidden="1" customHeight="1">
      <c r="A737" s="30">
        <f t="shared" si="17"/>
        <v>0</v>
      </c>
      <c r="C737" s="63">
        <v>3028</v>
      </c>
      <c r="D737" s="30" t="s">
        <v>159</v>
      </c>
      <c r="E737" s="72">
        <f>'eoy24'!O614</f>
        <v>0</v>
      </c>
      <c r="G737" s="61"/>
    </row>
    <row r="738" spans="1:14" ht="15" hidden="1" customHeight="1">
      <c r="A738" s="30">
        <f t="shared" si="17"/>
        <v>0</v>
      </c>
      <c r="C738" s="63">
        <v>3030</v>
      </c>
      <c r="D738" s="30" t="s">
        <v>253</v>
      </c>
      <c r="E738" s="72">
        <f>'eoy24'!O615</f>
        <v>0</v>
      </c>
      <c r="G738" s="61"/>
    </row>
    <row r="739" spans="1:14" ht="15" hidden="1" customHeight="1">
      <c r="A739" s="30">
        <f t="shared" si="17"/>
        <v>0</v>
      </c>
      <c r="C739" s="63">
        <v>3042</v>
      </c>
      <c r="D739" s="30" t="s">
        <v>254</v>
      </c>
      <c r="E739" s="72">
        <f>'eoy24'!O616</f>
        <v>0</v>
      </c>
      <c r="G739" s="61"/>
    </row>
    <row r="740" spans="1:14" ht="15" hidden="1" customHeight="1">
      <c r="A740" s="30">
        <f t="shared" si="17"/>
        <v>0</v>
      </c>
      <c r="C740" s="63">
        <v>3044</v>
      </c>
      <c r="D740" s="30" t="s">
        <v>255</v>
      </c>
      <c r="E740" s="72">
        <f>'eoy24'!O617</f>
        <v>0</v>
      </c>
      <c r="G740" s="61"/>
      <c r="M740" s="18"/>
      <c r="N740" s="18"/>
    </row>
    <row r="741" spans="1:14" ht="15" hidden="1" customHeight="1">
      <c r="A741" s="30">
        <f t="shared" si="17"/>
        <v>0</v>
      </c>
      <c r="C741" s="63">
        <v>3046</v>
      </c>
      <c r="D741" s="30" t="s">
        <v>256</v>
      </c>
      <c r="E741" s="72">
        <f>'eoy24'!O618</f>
        <v>0</v>
      </c>
      <c r="G741" s="61"/>
      <c r="M741" s="18"/>
      <c r="N741" s="18"/>
    </row>
    <row r="742" spans="1:14" ht="15" hidden="1" customHeight="1">
      <c r="A742" s="30">
        <f t="shared" si="17"/>
        <v>0</v>
      </c>
      <c r="C742" s="63">
        <v>3048</v>
      </c>
      <c r="D742" s="30" t="s">
        <v>257</v>
      </c>
      <c r="E742" s="72">
        <f>'eoy24'!O619</f>
        <v>0</v>
      </c>
      <c r="G742" s="61"/>
      <c r="M742" s="18"/>
      <c r="N742" s="18"/>
    </row>
    <row r="743" spans="1:14" ht="15" hidden="1" customHeight="1">
      <c r="A743" s="30">
        <f t="shared" si="17"/>
        <v>0</v>
      </c>
      <c r="C743" s="63">
        <v>3052</v>
      </c>
      <c r="D743" s="30" t="s">
        <v>165</v>
      </c>
      <c r="E743" s="72">
        <f>'eoy24'!O620</f>
        <v>0</v>
      </c>
      <c r="G743" s="61"/>
      <c r="M743" s="18"/>
      <c r="N743" s="18"/>
    </row>
    <row r="744" spans="1:14" ht="15" hidden="1" customHeight="1">
      <c r="A744" s="30">
        <f t="shared" si="17"/>
        <v>0</v>
      </c>
      <c r="C744" s="63">
        <v>3054</v>
      </c>
      <c r="D744" s="30" t="s">
        <v>166</v>
      </c>
      <c r="E744" s="72">
        <f>'eoy24'!O621</f>
        <v>0</v>
      </c>
      <c r="G744" s="61"/>
      <c r="M744" s="18"/>
      <c r="N744" s="18"/>
    </row>
    <row r="745" spans="1:14" ht="15" hidden="1" customHeight="1">
      <c r="A745" s="30">
        <f t="shared" si="17"/>
        <v>0</v>
      </c>
      <c r="C745" s="63">
        <v>3056</v>
      </c>
      <c r="D745" s="30" t="s">
        <v>167</v>
      </c>
      <c r="E745" s="72">
        <f>'eoy24'!O622</f>
        <v>0</v>
      </c>
      <c r="G745" s="61"/>
      <c r="M745" s="18"/>
      <c r="N745" s="18"/>
    </row>
    <row r="746" spans="1:14" ht="15" hidden="1" customHeight="1">
      <c r="A746" s="30">
        <f t="shared" si="17"/>
        <v>0</v>
      </c>
      <c r="C746" s="63">
        <v>3058</v>
      </c>
      <c r="D746" s="30" t="s">
        <v>168</v>
      </c>
      <c r="E746" s="72">
        <f>'eoy24'!O623</f>
        <v>0</v>
      </c>
      <c r="G746" s="61"/>
      <c r="M746" s="18"/>
      <c r="N746" s="18"/>
    </row>
    <row r="747" spans="1:14" ht="15" hidden="1" customHeight="1">
      <c r="A747" s="30">
        <f t="shared" si="17"/>
        <v>0</v>
      </c>
      <c r="C747" s="63">
        <v>3062</v>
      </c>
      <c r="D747" s="30" t="s">
        <v>170</v>
      </c>
      <c r="E747" s="72">
        <f>'eoy24'!O624</f>
        <v>0</v>
      </c>
      <c r="G747" s="61"/>
      <c r="M747" s="18"/>
      <c r="N747" s="18"/>
    </row>
    <row r="748" spans="1:14" ht="15" hidden="1" customHeight="1">
      <c r="A748" s="30">
        <f t="shared" si="17"/>
        <v>0</v>
      </c>
      <c r="C748" s="63">
        <v>3064</v>
      </c>
      <c r="D748" s="30" t="s">
        <v>171</v>
      </c>
      <c r="E748" s="72">
        <f>'eoy24'!O625</f>
        <v>0</v>
      </c>
      <c r="G748" s="61"/>
      <c r="M748" s="18"/>
      <c r="N748" s="18"/>
    </row>
    <row r="749" spans="1:14" ht="15" hidden="1" customHeight="1">
      <c r="A749" s="30">
        <f t="shared" si="17"/>
        <v>0</v>
      </c>
      <c r="C749" s="63">
        <v>3066</v>
      </c>
      <c r="D749" s="30" t="s">
        <v>172</v>
      </c>
      <c r="E749" s="72">
        <f>'eoy24'!O626</f>
        <v>0</v>
      </c>
      <c r="G749" s="61"/>
      <c r="M749" s="18"/>
      <c r="N749" s="18"/>
    </row>
    <row r="750" spans="1:14" ht="15" hidden="1" customHeight="1">
      <c r="A750" s="30">
        <f t="shared" si="17"/>
        <v>0</v>
      </c>
      <c r="C750" s="63">
        <v>3072</v>
      </c>
      <c r="D750" s="30" t="s">
        <v>174</v>
      </c>
      <c r="E750" s="72">
        <f>'eoy24'!O627</f>
        <v>0</v>
      </c>
      <c r="G750" s="61"/>
      <c r="M750" s="18"/>
      <c r="N750" s="18"/>
    </row>
    <row r="751" spans="1:14" ht="15" hidden="1" customHeight="1">
      <c r="A751" s="30">
        <f t="shared" si="17"/>
        <v>0</v>
      </c>
      <c r="C751" s="63">
        <v>3075</v>
      </c>
      <c r="D751" s="30" t="s">
        <v>177</v>
      </c>
      <c r="E751" s="72">
        <f>'eoy24'!O628</f>
        <v>0</v>
      </c>
      <c r="G751" s="61"/>
      <c r="M751" s="18"/>
      <c r="N751" s="18"/>
    </row>
    <row r="752" spans="1:14" ht="15" hidden="1" customHeight="1">
      <c r="A752" s="30">
        <f t="shared" si="17"/>
        <v>0</v>
      </c>
      <c r="C752" s="63">
        <v>3076</v>
      </c>
      <c r="D752" s="30" t="s">
        <v>179</v>
      </c>
      <c r="E752" s="72">
        <f>'eoy24'!O629</f>
        <v>0</v>
      </c>
    </row>
    <row r="753" spans="1:13" ht="15" hidden="1" customHeight="1">
      <c r="A753" s="30">
        <f t="shared" si="17"/>
        <v>0</v>
      </c>
      <c r="C753" s="63">
        <v>3077</v>
      </c>
      <c r="D753" s="30" t="s">
        <v>180</v>
      </c>
      <c r="E753" s="72">
        <f>'eoy24'!O630</f>
        <v>0</v>
      </c>
      <c r="L753" s="18"/>
    </row>
    <row r="754" spans="1:13" ht="15" hidden="1" customHeight="1">
      <c r="A754" s="30">
        <f t="shared" si="17"/>
        <v>0</v>
      </c>
      <c r="C754" s="63">
        <v>3078</v>
      </c>
      <c r="D754" s="30" t="s">
        <v>181</v>
      </c>
      <c r="E754" s="72">
        <f>'eoy24'!O631</f>
        <v>0</v>
      </c>
      <c r="L754" s="18"/>
    </row>
    <row r="755" spans="1:13" ht="15" hidden="1" customHeight="1">
      <c r="A755" s="120">
        <f>IF(OR(AND(E755&gt;0,I755=0),AND(E755=0,I755&gt;0)),1,0)</f>
        <v>0</v>
      </c>
      <c r="B755" s="120"/>
      <c r="C755" s="119" t="s">
        <v>899</v>
      </c>
      <c r="D755" s="120" t="s">
        <v>934</v>
      </c>
      <c r="E755" s="215">
        <f>'eoy24'!O632</f>
        <v>0</v>
      </c>
      <c r="F755" s="120"/>
      <c r="G755" s="527">
        <v>610</v>
      </c>
      <c r="H755" s="527" t="s">
        <v>936</v>
      </c>
      <c r="I755" s="120">
        <f>'eoy24'!J46</f>
        <v>0</v>
      </c>
      <c r="L755" s="18"/>
    </row>
    <row r="756" spans="1:13" ht="32.25" customHeight="1">
      <c r="A756" s="1">
        <f t="shared" ref="A756:A761" ca="1" si="18">IF(SUM(A$762:A$794)&gt;0,1,0)</f>
        <v>1</v>
      </c>
      <c r="B756" s="1"/>
      <c r="C756" s="41"/>
      <c r="D756" s="1"/>
      <c r="E756" s="1"/>
      <c r="F756" s="1"/>
      <c r="G756" s="1"/>
      <c r="H756" s="1"/>
      <c r="I756" s="1" t="s">
        <v>941</v>
      </c>
    </row>
    <row r="757" spans="1:13" ht="15.75" customHeight="1">
      <c r="A757" s="557">
        <f t="shared" ca="1" si="18"/>
        <v>1</v>
      </c>
      <c r="B757" s="556" t="s">
        <v>942</v>
      </c>
      <c r="C757" s="698"/>
      <c r="D757" s="699"/>
      <c r="E757" s="700"/>
      <c r="F757" s="563"/>
      <c r="G757" s="701"/>
      <c r="H757" s="700"/>
      <c r="I757" s="705"/>
      <c r="L757" s="18"/>
    </row>
    <row r="758" spans="1:13" ht="15" customHeight="1">
      <c r="A758" s="30">
        <f t="shared" ca="1" si="18"/>
        <v>1</v>
      </c>
      <c r="C758" s="63"/>
      <c r="G758" s="61"/>
      <c r="L758" s="18"/>
    </row>
    <row r="759" spans="1:13" ht="15" customHeight="1">
      <c r="A759" s="30">
        <f t="shared" ca="1" si="18"/>
        <v>1</v>
      </c>
      <c r="C759" s="702" t="s">
        <v>943</v>
      </c>
      <c r="D759" s="216"/>
      <c r="E759" s="216"/>
      <c r="F759" s="527"/>
      <c r="G759" s="216" t="s">
        <v>944</v>
      </c>
      <c r="H759" s="527"/>
      <c r="I759" s="527"/>
      <c r="L759" s="18"/>
    </row>
    <row r="760" spans="1:13" ht="30" customHeight="1">
      <c r="A760" s="30">
        <f t="shared" ca="1" si="18"/>
        <v>1</v>
      </c>
      <c r="C760" s="122" t="s">
        <v>945</v>
      </c>
      <c r="D760" s="706"/>
      <c r="E760" s="706"/>
      <c r="F760" s="215"/>
      <c r="G760" s="706" t="s">
        <v>946</v>
      </c>
      <c r="H760" s="706"/>
      <c r="I760" s="706"/>
      <c r="L760" s="18"/>
    </row>
    <row r="761" spans="1:13" ht="15" customHeight="1">
      <c r="A761" s="30">
        <f t="shared" ca="1" si="18"/>
        <v>1</v>
      </c>
      <c r="C761" s="703" t="s">
        <v>947</v>
      </c>
      <c r="D761" s="704" t="s">
        <v>948</v>
      </c>
      <c r="E761" s="704" t="s">
        <v>864</v>
      </c>
      <c r="F761" s="215"/>
      <c r="G761" s="704" t="s">
        <v>38</v>
      </c>
      <c r="H761" s="704" t="s">
        <v>948</v>
      </c>
      <c r="I761" s="704" t="s">
        <v>864</v>
      </c>
      <c r="L761" s="18"/>
    </row>
    <row r="762" spans="1:13" ht="19.5" hidden="1" customHeight="1">
      <c r="A762" s="30">
        <f t="shared" ref="A762:A768" ca="1" si="19">IF(ABS(E762-I762)&gt;10,1,0)</f>
        <v>0</v>
      </c>
      <c r="C762" s="63" t="s">
        <v>868</v>
      </c>
      <c r="D762" s="66" t="s">
        <v>949</v>
      </c>
      <c r="E762" s="80">
        <f ca="1">'eoy24'!F132+'eoy24'!F140+'eoy24'!F148+SUM('eoy24'!K557:K559)</f>
        <v>255346</v>
      </c>
      <c r="F762" s="21" t="s">
        <v>870</v>
      </c>
      <c r="G762" s="63">
        <v>3810</v>
      </c>
      <c r="H762" s="66" t="s">
        <v>338</v>
      </c>
      <c r="I762" s="30">
        <f>'eoy24'!M1006</f>
        <v>255346</v>
      </c>
      <c r="L762" s="18"/>
    </row>
    <row r="763" spans="1:13" hidden="1">
      <c r="A763" s="1">
        <f t="shared" ca="1" si="19"/>
        <v>0</v>
      </c>
      <c r="B763" s="1"/>
      <c r="C763" s="218" t="s">
        <v>868</v>
      </c>
      <c r="D763" s="90" t="s">
        <v>950</v>
      </c>
      <c r="E763" s="30">
        <f ca="1">'eoy24'!F161+SUM('eoy24'!K560:K561)</f>
        <v>0</v>
      </c>
      <c r="F763" s="83" t="s">
        <v>870</v>
      </c>
      <c r="G763" s="218">
        <v>3815</v>
      </c>
      <c r="H763" s="90" t="s">
        <v>339</v>
      </c>
      <c r="I763" s="1">
        <f>'eoy24'!M1007</f>
        <v>0</v>
      </c>
      <c r="L763" s="18"/>
    </row>
    <row r="764" spans="1:13" ht="15" customHeight="1">
      <c r="A764" s="30">
        <f t="shared" ca="1" si="19"/>
        <v>1</v>
      </c>
      <c r="C764" s="63" t="s">
        <v>868</v>
      </c>
      <c r="D764" s="66" t="s">
        <v>341</v>
      </c>
      <c r="E764" s="30">
        <f ca="1">'eoy24'!F163+'eoy24'!F171+'eoy24'!F176+'eoy24'!F180+'eoy24'!F184+'eoy24'!F194+'eoy24'!F208+'eoy24'!F210+'eoy24'!F216+'eoy24'!F221+SUM('eoy24'!K562:K573)</f>
        <v>3905046.1</v>
      </c>
      <c r="F764" s="21" t="s">
        <v>870</v>
      </c>
      <c r="G764" s="63">
        <v>3820</v>
      </c>
      <c r="H764" s="66" t="s">
        <v>341</v>
      </c>
      <c r="I764" s="30">
        <f>'eoy24'!M1008</f>
        <v>3709369</v>
      </c>
      <c r="L764" s="18"/>
    </row>
    <row r="765" spans="1:13" ht="15" customHeight="1">
      <c r="A765" s="30">
        <f t="shared" ca="1" si="19"/>
        <v>1</v>
      </c>
      <c r="C765" s="63" t="s">
        <v>868</v>
      </c>
      <c r="D765" s="66" t="s">
        <v>343</v>
      </c>
      <c r="E765" s="80">
        <f ca="1">'eoy24'!F223+'eoy24'!F228+'eoy24'!F233+'eoy24'!F235+'eoy24'!F241+'eoy24'!F246+'eoy24'!F251+'eoy24'!F256+SUM('eoy24'!K574:K581)</f>
        <v>12346</v>
      </c>
      <c r="F765" s="21" t="s">
        <v>870</v>
      </c>
      <c r="G765" s="63">
        <v>3830</v>
      </c>
      <c r="H765" s="66" t="s">
        <v>343</v>
      </c>
      <c r="I765" s="80">
        <f>'eoy24'!M1009</f>
        <v>8192</v>
      </c>
      <c r="L765" s="18"/>
      <c r="M765" s="80"/>
    </row>
    <row r="766" spans="1:13" ht="15" customHeight="1">
      <c r="A766" s="30">
        <f t="shared" ca="1" si="19"/>
        <v>1</v>
      </c>
      <c r="C766" s="63" t="s">
        <v>868</v>
      </c>
      <c r="D766" s="66" t="s">
        <v>345</v>
      </c>
      <c r="E766" s="30">
        <f ca="1">'eoy24'!F264+'eoy24'!F272+SUM('eoy24'!K582:K583)</f>
        <v>192810</v>
      </c>
      <c r="F766" s="21" t="s">
        <v>870</v>
      </c>
      <c r="G766" s="63">
        <v>3840</v>
      </c>
      <c r="H766" s="66" t="s">
        <v>345</v>
      </c>
      <c r="I766" s="30">
        <f>'eoy24'!M1010</f>
        <v>85421</v>
      </c>
    </row>
    <row r="767" spans="1:13" ht="15" customHeight="1">
      <c r="A767" s="30">
        <f t="shared" ca="1" si="19"/>
        <v>1</v>
      </c>
      <c r="C767" s="63" t="s">
        <v>868</v>
      </c>
      <c r="D767" s="66" t="s">
        <v>347</v>
      </c>
      <c r="E767" s="30">
        <f ca="1">'eoy24'!F280+'eoy24'!K584</f>
        <v>164611</v>
      </c>
      <c r="F767" s="21" t="s">
        <v>870</v>
      </c>
      <c r="G767" s="63">
        <v>3850</v>
      </c>
      <c r="H767" s="66" t="s">
        <v>347</v>
      </c>
      <c r="I767" s="30">
        <f>'eoy24'!M1011</f>
        <v>94365</v>
      </c>
    </row>
    <row r="768" spans="1:13" ht="15" hidden="1" customHeight="1">
      <c r="A768" s="30">
        <f t="shared" si="19"/>
        <v>0</v>
      </c>
      <c r="C768" s="63" t="s">
        <v>868</v>
      </c>
      <c r="D768" s="66" t="s">
        <v>951</v>
      </c>
      <c r="E768" s="30">
        <f>'eoy24'!F443</f>
        <v>0</v>
      </c>
      <c r="F768" s="21" t="s">
        <v>870</v>
      </c>
      <c r="G768" s="63">
        <v>3870</v>
      </c>
      <c r="H768" s="66" t="s">
        <v>952</v>
      </c>
      <c r="I768" s="30">
        <f>'eoy24'!M1013</f>
        <v>0</v>
      </c>
    </row>
    <row r="769" spans="1:12" ht="15" hidden="1" customHeight="1">
      <c r="A769" s="30">
        <f>IF(A772=1,1,0)</f>
        <v>0</v>
      </c>
      <c r="C769" s="63">
        <v>1770</v>
      </c>
      <c r="D769" s="66" t="s">
        <v>953</v>
      </c>
      <c r="E769" s="30">
        <f>'eoy24'!F464</f>
        <v>0</v>
      </c>
      <c r="H769" s="66"/>
    </row>
    <row r="770" spans="1:12" ht="15" hidden="1" customHeight="1">
      <c r="A770" s="30">
        <f>IF(A772=1,1,0)</f>
        <v>0</v>
      </c>
      <c r="C770" s="63">
        <v>2210</v>
      </c>
      <c r="D770" s="66" t="s">
        <v>954</v>
      </c>
      <c r="E770" s="30">
        <f>'eoy24'!F528</f>
        <v>0</v>
      </c>
      <c r="H770" s="66"/>
    </row>
    <row r="771" spans="1:12" ht="15" hidden="1" customHeight="1">
      <c r="A771" s="30">
        <f>IF(A772=1,1,0)</f>
        <v>0</v>
      </c>
      <c r="C771" s="63">
        <v>3072</v>
      </c>
      <c r="D771" s="66" t="s">
        <v>955</v>
      </c>
      <c r="E771" s="30">
        <f>'eoy24'!K627</f>
        <v>0</v>
      </c>
      <c r="H771" s="66"/>
    </row>
    <row r="772" spans="1:12" ht="15" hidden="1" customHeight="1">
      <c r="A772" s="120">
        <f>IF(ABS(E772-I772)&gt;10,1,0)</f>
        <v>0</v>
      </c>
      <c r="C772" s="119" t="s">
        <v>935</v>
      </c>
      <c r="D772" s="216" t="s">
        <v>956</v>
      </c>
      <c r="E772" s="120">
        <f>SUM(E769:E771)</f>
        <v>0</v>
      </c>
      <c r="F772" s="527" t="s">
        <v>870</v>
      </c>
      <c r="G772" s="119">
        <v>3880</v>
      </c>
      <c r="H772" s="216" t="s">
        <v>957</v>
      </c>
      <c r="I772" s="120">
        <f>'eoy24'!M1015</f>
        <v>0</v>
      </c>
    </row>
    <row r="773" spans="1:12" ht="15" hidden="1" customHeight="1">
      <c r="A773" s="30">
        <f>IF(A775=1,1,0)</f>
        <v>0</v>
      </c>
      <c r="C773" s="63">
        <v>1780</v>
      </c>
      <c r="D773" s="66" t="s">
        <v>958</v>
      </c>
      <c r="E773" s="30">
        <f>'eoy24'!F465</f>
        <v>0</v>
      </c>
      <c r="F773" s="21"/>
      <c r="G773" s="63"/>
      <c r="H773" s="66"/>
      <c r="L773" s="18"/>
    </row>
    <row r="774" spans="1:12" ht="15" hidden="1" customHeight="1">
      <c r="A774" s="30">
        <f>IF(A775=1,1,0)</f>
        <v>0</v>
      </c>
      <c r="C774" s="63">
        <v>2220</v>
      </c>
      <c r="D774" s="66" t="s">
        <v>959</v>
      </c>
      <c r="E774" s="30">
        <f>'eoy24'!F529</f>
        <v>69187.997733809505</v>
      </c>
      <c r="L774" s="18"/>
    </row>
    <row r="775" spans="1:12" ht="15" hidden="1" customHeight="1">
      <c r="A775" s="120">
        <f>IF(ABS(E775-I775)&gt;10,1,0)</f>
        <v>0</v>
      </c>
      <c r="C775" s="119" t="s">
        <v>935</v>
      </c>
      <c r="D775" s="216" t="s">
        <v>960</v>
      </c>
      <c r="E775" s="120">
        <f>E773+E774</f>
        <v>69187.997733809505</v>
      </c>
      <c r="F775" s="21" t="s">
        <v>870</v>
      </c>
      <c r="G775" s="119">
        <v>3885</v>
      </c>
      <c r="H775" s="216" t="s">
        <v>961</v>
      </c>
      <c r="I775" s="120">
        <f>'eoy24'!M1016</f>
        <v>69188</v>
      </c>
      <c r="L775" s="18"/>
    </row>
    <row r="776" spans="1:12" ht="15" hidden="1" customHeight="1">
      <c r="A776" s="30">
        <f>IF(A778=1,1,0)</f>
        <v>0</v>
      </c>
      <c r="C776" s="63">
        <v>1790</v>
      </c>
      <c r="D776" s="66" t="s">
        <v>962</v>
      </c>
      <c r="E776" s="30">
        <f>'eoy24'!F466</f>
        <v>0</v>
      </c>
      <c r="F776" s="21"/>
      <c r="L776" s="18"/>
    </row>
    <row r="777" spans="1:12" ht="15" hidden="1" customHeight="1">
      <c r="A777" s="30">
        <f>IF(A778=1,1,0)</f>
        <v>0</v>
      </c>
      <c r="C777" s="63">
        <v>2230</v>
      </c>
      <c r="D777" s="66" t="s">
        <v>963</v>
      </c>
      <c r="E777" s="30">
        <f>'eoy24'!F530</f>
        <v>30589.090000000004</v>
      </c>
      <c r="F777" s="21"/>
      <c r="L777" s="18"/>
    </row>
    <row r="778" spans="1:12" ht="15" hidden="1" customHeight="1">
      <c r="A778" s="120">
        <f>IF(ABS(E778-I778)&gt;10,1,0)</f>
        <v>0</v>
      </c>
      <c r="C778" s="119" t="s">
        <v>935</v>
      </c>
      <c r="D778" s="216" t="s">
        <v>964</v>
      </c>
      <c r="E778" s="120">
        <f>E776+E777</f>
        <v>30589.090000000004</v>
      </c>
      <c r="F778" s="21" t="s">
        <v>870</v>
      </c>
      <c r="G778" s="119">
        <v>3887</v>
      </c>
      <c r="H778" s="216" t="s">
        <v>964</v>
      </c>
      <c r="I778" s="120">
        <f>'eoy24'!M1017</f>
        <v>30589</v>
      </c>
      <c r="L778" s="18"/>
    </row>
    <row r="779" spans="1:12" ht="15" hidden="1" customHeight="1">
      <c r="A779" s="30">
        <f>IF(A782=1,1,0)</f>
        <v>0</v>
      </c>
      <c r="C779" s="63">
        <v>1795</v>
      </c>
      <c r="D779" s="66" t="s">
        <v>965</v>
      </c>
      <c r="E779" s="30">
        <f>'eoy24'!F467</f>
        <v>0</v>
      </c>
      <c r="F779" s="21"/>
      <c r="G779" s="119"/>
      <c r="H779" s="216"/>
      <c r="I779" s="120"/>
      <c r="L779" s="18"/>
    </row>
    <row r="780" spans="1:12" ht="15" hidden="1" customHeight="1">
      <c r="A780" s="30">
        <f>IF(A782=1,1,0)</f>
        <v>0</v>
      </c>
      <c r="C780" s="63">
        <v>2235</v>
      </c>
      <c r="D780" s="66" t="s">
        <v>966</v>
      </c>
      <c r="E780" s="30">
        <f>'eoy24'!F531</f>
        <v>0</v>
      </c>
      <c r="F780" s="21"/>
      <c r="G780" s="63"/>
      <c r="H780" s="66"/>
      <c r="L780" s="18"/>
    </row>
    <row r="781" spans="1:12" ht="15" hidden="1" customHeight="1">
      <c r="A781" s="30">
        <f>IF(A782=1,1,0)</f>
        <v>0</v>
      </c>
      <c r="C781" s="63">
        <v>3075</v>
      </c>
      <c r="D781" s="66" t="s">
        <v>967</v>
      </c>
      <c r="E781" s="30">
        <f>'eoy24'!K628</f>
        <v>0</v>
      </c>
      <c r="F781" s="21"/>
      <c r="G781" s="63"/>
      <c r="H781" s="66"/>
      <c r="L781" s="18"/>
    </row>
    <row r="782" spans="1:12" ht="15" hidden="1" customHeight="1">
      <c r="A782" s="120">
        <f>IF(ABS(E782-I782)&gt;10,1,0)</f>
        <v>0</v>
      </c>
      <c r="C782" s="119" t="s">
        <v>935</v>
      </c>
      <c r="D782" s="216" t="s">
        <v>968</v>
      </c>
      <c r="E782" s="120">
        <f>SUM(E779:E781)</f>
        <v>0</v>
      </c>
      <c r="F782" s="21" t="s">
        <v>870</v>
      </c>
      <c r="G782" s="119">
        <v>3888</v>
      </c>
      <c r="H782" s="216" t="s">
        <v>969</v>
      </c>
      <c r="I782" s="120">
        <f>'eoy24'!M1018</f>
        <v>0</v>
      </c>
      <c r="L782" s="18"/>
    </row>
    <row r="783" spans="1:12" ht="15" hidden="1" customHeight="1">
      <c r="A783" s="30">
        <f>IF(A786=1,1,0)</f>
        <v>0</v>
      </c>
      <c r="C783" s="63">
        <v>1800</v>
      </c>
      <c r="D783" s="66" t="s">
        <v>970</v>
      </c>
      <c r="E783" s="30">
        <f>'eoy24'!F469</f>
        <v>0</v>
      </c>
      <c r="H783" s="66"/>
      <c r="L783" s="18"/>
    </row>
    <row r="784" spans="1:12" ht="15" hidden="1" customHeight="1">
      <c r="A784" s="30">
        <f>IF(A786=1,1,0)</f>
        <v>0</v>
      </c>
      <c r="C784" s="63">
        <v>2240</v>
      </c>
      <c r="D784" s="66" t="s">
        <v>971</v>
      </c>
      <c r="E784" s="30">
        <f>'eoy24'!F533</f>
        <v>0</v>
      </c>
      <c r="H784" s="66"/>
      <c r="L784" s="18"/>
    </row>
    <row r="785" spans="1:12" ht="15" hidden="1" customHeight="1">
      <c r="A785" s="30">
        <f>IF(A786=1,1,0)</f>
        <v>0</v>
      </c>
      <c r="C785" s="63">
        <v>3076</v>
      </c>
      <c r="D785" s="66" t="s">
        <v>972</v>
      </c>
      <c r="E785" s="30">
        <f>'eoy24'!K629</f>
        <v>0</v>
      </c>
      <c r="H785" s="66"/>
      <c r="L785" s="18"/>
    </row>
    <row r="786" spans="1:12" ht="15" hidden="1" customHeight="1">
      <c r="A786" s="120">
        <f>IF(ABS(E786-I786)&gt;10,1,0)</f>
        <v>0</v>
      </c>
      <c r="C786" s="119" t="s">
        <v>935</v>
      </c>
      <c r="D786" s="216" t="s">
        <v>973</v>
      </c>
      <c r="E786" s="120">
        <f>SUM(E783:E785)</f>
        <v>0</v>
      </c>
      <c r="F786" s="527" t="s">
        <v>870</v>
      </c>
      <c r="G786" s="119">
        <v>3890</v>
      </c>
      <c r="H786" s="216" t="s">
        <v>974</v>
      </c>
      <c r="I786" s="120">
        <f>'eoy24'!M1019</f>
        <v>0</v>
      </c>
      <c r="L786" s="18"/>
    </row>
    <row r="787" spans="1:12" ht="15" hidden="1" customHeight="1">
      <c r="A787" s="30">
        <f>IF(A790=1,1,0)</f>
        <v>0</v>
      </c>
      <c r="C787" s="63">
        <v>1810</v>
      </c>
      <c r="D787" s="66" t="s">
        <v>975</v>
      </c>
      <c r="E787" s="30">
        <f>'eoy24'!F470</f>
        <v>397529.04</v>
      </c>
      <c r="H787" s="66"/>
      <c r="L787" s="18"/>
    </row>
    <row r="788" spans="1:12" ht="15" hidden="1" customHeight="1">
      <c r="A788" s="30">
        <f>IF(A790=1,1,0)</f>
        <v>0</v>
      </c>
      <c r="C788" s="63">
        <v>2250</v>
      </c>
      <c r="D788" s="66" t="s">
        <v>976</v>
      </c>
      <c r="E788" s="30">
        <f>'eoy24'!F534</f>
        <v>0</v>
      </c>
      <c r="H788" s="66"/>
    </row>
    <row r="789" spans="1:12" ht="15" hidden="1" customHeight="1">
      <c r="A789" s="30">
        <f>IF(A790=1,1,0)</f>
        <v>0</v>
      </c>
      <c r="C789" s="63">
        <v>3077</v>
      </c>
      <c r="D789" s="66" t="s">
        <v>977</v>
      </c>
      <c r="E789" s="30">
        <f>'eoy24'!K630</f>
        <v>401966</v>
      </c>
      <c r="H789" s="66"/>
    </row>
    <row r="790" spans="1:12" ht="15" hidden="1" customHeight="1">
      <c r="A790" s="120">
        <f>IF(ABS(E790-I790)&gt;10,1,0)</f>
        <v>0</v>
      </c>
      <c r="C790" s="119" t="s">
        <v>935</v>
      </c>
      <c r="D790" s="216" t="s">
        <v>978</v>
      </c>
      <c r="E790" s="120">
        <f>SUM(E787:E789)</f>
        <v>799495.04</v>
      </c>
      <c r="F790" s="527" t="s">
        <v>870</v>
      </c>
      <c r="G790" s="119">
        <v>3900</v>
      </c>
      <c r="H790" s="216" t="s">
        <v>979</v>
      </c>
      <c r="I790" s="120">
        <f>'eoy24'!M1020</f>
        <v>799495</v>
      </c>
    </row>
    <row r="791" spans="1:12" ht="15" hidden="1" customHeight="1">
      <c r="A791" s="30">
        <f>IF(A794=1,1,0)</f>
        <v>0</v>
      </c>
      <c r="C791" s="63">
        <v>1820</v>
      </c>
      <c r="D791" s="66" t="s">
        <v>980</v>
      </c>
      <c r="E791" s="30">
        <f>'eoy24'!F471</f>
        <v>190979</v>
      </c>
      <c r="H791" s="66"/>
    </row>
    <row r="792" spans="1:12" ht="15" hidden="1" customHeight="1">
      <c r="A792" s="30">
        <f>IF(A794=1,1,0)</f>
        <v>0</v>
      </c>
      <c r="C792" s="63">
        <v>2260</v>
      </c>
      <c r="D792" s="66" t="s">
        <v>981</v>
      </c>
      <c r="E792" s="30">
        <f>'eoy24'!F535</f>
        <v>0</v>
      </c>
      <c r="H792" s="66"/>
    </row>
    <row r="793" spans="1:12" ht="15" hidden="1" customHeight="1">
      <c r="A793" s="30">
        <f>IF(A794=1,1,0)</f>
        <v>0</v>
      </c>
      <c r="C793" s="63">
        <v>3078</v>
      </c>
      <c r="D793" s="66" t="s">
        <v>982</v>
      </c>
      <c r="E793" s="30">
        <f>'eoy24'!K631</f>
        <v>0</v>
      </c>
      <c r="H793" s="66"/>
    </row>
    <row r="794" spans="1:12" ht="15" hidden="1" customHeight="1">
      <c r="A794" s="120">
        <f>IF(ABS(E794-I794)&gt;10,1,0)</f>
        <v>0</v>
      </c>
      <c r="C794" s="119" t="s">
        <v>935</v>
      </c>
      <c r="D794" s="216" t="s">
        <v>983</v>
      </c>
      <c r="E794" s="120">
        <f>SUM(E791:E793)</f>
        <v>190979</v>
      </c>
      <c r="F794" s="527" t="s">
        <v>870</v>
      </c>
      <c r="G794" s="119">
        <v>3910</v>
      </c>
      <c r="H794" s="216" t="s">
        <v>984</v>
      </c>
      <c r="I794" s="120">
        <f>'eoy24'!M1021</f>
        <v>190979</v>
      </c>
    </row>
    <row r="795" spans="1:12" ht="15" hidden="1" customHeight="1">
      <c r="A795" s="1">
        <f>IF(A803&gt;0,1,0)</f>
        <v>0</v>
      </c>
      <c r="B795" s="1"/>
      <c r="C795" s="41"/>
      <c r="D795" s="1"/>
      <c r="E795" s="1"/>
      <c r="F795" s="1"/>
      <c r="G795" s="1"/>
      <c r="H795" s="1"/>
      <c r="I795" s="1"/>
    </row>
    <row r="796" spans="1:12" ht="15" hidden="1" customHeight="1">
      <c r="A796" s="557">
        <f>IF(A803&gt;0,1,0)</f>
        <v>0</v>
      </c>
      <c r="B796" s="556" t="s">
        <v>985</v>
      </c>
      <c r="C796" s="698"/>
      <c r="D796" s="699"/>
      <c r="E796" s="700"/>
      <c r="F796" s="563"/>
      <c r="G796" s="701"/>
      <c r="H796" s="700"/>
      <c r="I796" s="564"/>
    </row>
    <row r="797" spans="1:12" ht="15" hidden="1" customHeight="1">
      <c r="A797" s="30">
        <f t="shared" ref="A797:A802" si="20">IF(A$803=1, 1, 0)</f>
        <v>0</v>
      </c>
      <c r="B797" s="62"/>
      <c r="C797" s="128" t="s">
        <v>986</v>
      </c>
      <c r="D797" s="527"/>
      <c r="E797" s="120"/>
      <c r="F797" s="21"/>
      <c r="G797" s="128"/>
      <c r="H797" s="120"/>
      <c r="I797" s="64"/>
    </row>
    <row r="798" spans="1:12" ht="15" hidden="1" customHeight="1">
      <c r="A798" s="30">
        <f t="shared" si="20"/>
        <v>0</v>
      </c>
      <c r="B798" s="62"/>
      <c r="C798" s="61" t="s">
        <v>987</v>
      </c>
      <c r="D798" s="527"/>
      <c r="E798" s="120"/>
      <c r="F798" s="21"/>
      <c r="G798" s="128"/>
      <c r="H798" s="120"/>
      <c r="I798" s="64"/>
    </row>
    <row r="799" spans="1:12" ht="13.15" hidden="1">
      <c r="A799" s="30">
        <f t="shared" si="20"/>
        <v>0</v>
      </c>
      <c r="B799" s="62"/>
      <c r="C799" s="119" t="s">
        <v>38</v>
      </c>
      <c r="D799" s="527" t="s">
        <v>895</v>
      </c>
      <c r="E799" s="527" t="s">
        <v>864</v>
      </c>
      <c r="F799" s="21"/>
      <c r="G799" s="119" t="s">
        <v>38</v>
      </c>
      <c r="H799" s="527" t="s">
        <v>895</v>
      </c>
      <c r="I799" s="527" t="s">
        <v>864</v>
      </c>
    </row>
    <row r="800" spans="1:12" ht="13.15" hidden="1">
      <c r="A800" s="30">
        <f t="shared" si="20"/>
        <v>0</v>
      </c>
      <c r="B800" s="62"/>
      <c r="C800" s="63">
        <v>7030</v>
      </c>
      <c r="D800" s="30" t="s">
        <v>988</v>
      </c>
      <c r="E800" s="30">
        <f>'eoy24'!E1100</f>
        <v>10922851</v>
      </c>
      <c r="F800" s="21"/>
      <c r="G800" s="128"/>
      <c r="H800" s="120"/>
      <c r="I800" s="64"/>
    </row>
    <row r="801" spans="1:12" ht="15" hidden="1" customHeight="1">
      <c r="A801" s="30">
        <f t="shared" si="20"/>
        <v>0</v>
      </c>
      <c r="B801" s="62"/>
      <c r="C801" s="63">
        <v>7030</v>
      </c>
      <c r="D801" s="30" t="s">
        <v>989</v>
      </c>
      <c r="E801" s="30">
        <f>'eoy24'!F1100</f>
        <v>4506361</v>
      </c>
      <c r="F801" s="21"/>
      <c r="G801" s="128"/>
      <c r="H801" s="120"/>
      <c r="I801" s="64"/>
    </row>
    <row r="802" spans="1:12" ht="15" hidden="1" customHeight="1">
      <c r="A802" s="30">
        <f t="shared" si="20"/>
        <v>0</v>
      </c>
      <c r="B802" s="62"/>
      <c r="C802" s="63">
        <v>7030</v>
      </c>
      <c r="D802" s="30" t="s">
        <v>990</v>
      </c>
      <c r="E802" s="30">
        <f>'eoy24'!G1100</f>
        <v>0</v>
      </c>
      <c r="F802" s="21"/>
      <c r="G802" s="128"/>
      <c r="H802" s="120"/>
      <c r="I802" s="64"/>
    </row>
    <row r="803" spans="1:12" ht="15" hidden="1" customHeight="1">
      <c r="A803" s="30">
        <f>IF(AND(I803&gt;0, E803=0), 1, 0)</f>
        <v>0</v>
      </c>
      <c r="B803" s="62"/>
      <c r="C803" s="119" t="s">
        <v>935</v>
      </c>
      <c r="D803" s="120" t="s">
        <v>991</v>
      </c>
      <c r="E803" s="120">
        <f>SUM(E800:E802)</f>
        <v>15429212</v>
      </c>
      <c r="F803" s="21"/>
      <c r="G803" s="128">
        <v>7030</v>
      </c>
      <c r="H803" s="120" t="s">
        <v>992</v>
      </c>
      <c r="I803" s="120">
        <f>'eoy24'!I1100</f>
        <v>0</v>
      </c>
    </row>
    <row r="804" spans="1:12" ht="15" hidden="1" customHeight="1">
      <c r="A804" s="118">
        <f>IF(SUM(A810+A813)&gt;0,1,0)</f>
        <v>0</v>
      </c>
      <c r="B804" s="1"/>
      <c r="C804" s="41"/>
      <c r="D804" s="1"/>
      <c r="E804" s="1"/>
      <c r="F804" s="1"/>
      <c r="G804" s="1"/>
      <c r="H804" s="1"/>
      <c r="I804" s="1"/>
    </row>
    <row r="805" spans="1:12" ht="15" hidden="1" customHeight="1">
      <c r="A805" s="700">
        <f>IF(SUM(A810+A813)&gt;0,1,0)</f>
        <v>0</v>
      </c>
      <c r="B805" s="556" t="s">
        <v>993</v>
      </c>
      <c r="C805" s="698"/>
      <c r="D805" s="557"/>
      <c r="E805" s="558"/>
      <c r="F805" s="558"/>
      <c r="G805" s="558"/>
      <c r="H805" s="558"/>
      <c r="I805" s="557"/>
    </row>
    <row r="806" spans="1:12" ht="15" hidden="1" customHeight="1">
      <c r="A806" s="30">
        <f>IF(A$810=1,1,0)</f>
        <v>0</v>
      </c>
      <c r="C806" s="63">
        <v>1469</v>
      </c>
      <c r="D806" s="30" t="s">
        <v>994</v>
      </c>
      <c r="E806" s="30">
        <f>'eoy24'!J304</f>
        <v>1318927</v>
      </c>
      <c r="G806" s="63">
        <v>4290</v>
      </c>
      <c r="H806" s="30" t="s">
        <v>995</v>
      </c>
      <c r="I806" s="30">
        <f>'eoy24'!E1085</f>
        <v>724845</v>
      </c>
    </row>
    <row r="807" spans="1:12" ht="15" hidden="1" customHeight="1">
      <c r="A807" s="30">
        <f>IF(A$810=1,1,0)</f>
        <v>0</v>
      </c>
      <c r="C807" s="63">
        <v>1739</v>
      </c>
      <c r="D807" s="30" t="s">
        <v>996</v>
      </c>
      <c r="E807" s="30">
        <f>'eoy24'!J451</f>
        <v>0</v>
      </c>
      <c r="G807" s="63">
        <v>4290</v>
      </c>
      <c r="H807" s="30" t="s">
        <v>997</v>
      </c>
      <c r="I807" s="30">
        <f>'eoy24'!F1085</f>
        <v>401402</v>
      </c>
    </row>
    <row r="808" spans="1:12" ht="15" hidden="1" customHeight="1">
      <c r="A808" s="30">
        <f>IF(A$810=1,1,0)</f>
        <v>0</v>
      </c>
      <c r="C808" s="63">
        <v>1950</v>
      </c>
      <c r="D808" s="30" t="s">
        <v>998</v>
      </c>
      <c r="E808" s="30">
        <f>'eoy24'!J490</f>
        <v>0</v>
      </c>
      <c r="G808" s="63">
        <v>4290</v>
      </c>
      <c r="H808" s="30" t="s">
        <v>999</v>
      </c>
      <c r="I808" s="30">
        <f>'eoy24'!G1085</f>
        <v>192680</v>
      </c>
    </row>
    <row r="809" spans="1:12" ht="15" hidden="1" customHeight="1">
      <c r="A809" s="30">
        <f>IF(A$810=1,1,0)</f>
        <v>0</v>
      </c>
      <c r="C809" s="63">
        <v>2090</v>
      </c>
      <c r="D809" s="30" t="s">
        <v>1000</v>
      </c>
      <c r="E809" s="30">
        <f>'eoy24'!J519</f>
        <v>0</v>
      </c>
    </row>
    <row r="810" spans="1:12" ht="15" hidden="1" customHeight="1">
      <c r="A810" s="120">
        <f>IF(L810&gt;1000,1,0)</f>
        <v>0</v>
      </c>
      <c r="C810" s="119" t="s">
        <v>935</v>
      </c>
      <c r="D810" s="120" t="s">
        <v>1001</v>
      </c>
      <c r="E810" s="120">
        <f>SUM(E806:E809)</f>
        <v>1318927</v>
      </c>
      <c r="G810" s="119" t="s">
        <v>935</v>
      </c>
      <c r="H810" s="120" t="s">
        <v>1002</v>
      </c>
      <c r="I810" s="120">
        <f>SUM(I806:I808)</f>
        <v>1318927</v>
      </c>
      <c r="L810" s="30">
        <f>ABS(E810-I810)</f>
        <v>0</v>
      </c>
    </row>
    <row r="811" spans="1:12" ht="15" hidden="1" customHeight="1">
      <c r="A811" s="30">
        <f>IF(A$813=1,1,0)</f>
        <v>0</v>
      </c>
      <c r="C811" s="63">
        <v>2930</v>
      </c>
      <c r="D811" s="30" t="s">
        <v>1003</v>
      </c>
      <c r="E811" s="30">
        <f>'eoy24'!Q589</f>
        <v>0</v>
      </c>
    </row>
    <row r="812" spans="1:12" ht="15" hidden="1" customHeight="1">
      <c r="A812" s="30">
        <f>IF(A$813=1,1,0)</f>
        <v>0</v>
      </c>
      <c r="C812" s="63">
        <v>3048</v>
      </c>
      <c r="D812" s="30" t="s">
        <v>1004</v>
      </c>
      <c r="E812" s="30">
        <f>'eoy24'!Q619</f>
        <v>0</v>
      </c>
    </row>
    <row r="813" spans="1:12" ht="15" hidden="1" customHeight="1">
      <c r="A813" s="120">
        <f>IF(L813&gt;1000,1,0)</f>
        <v>0</v>
      </c>
      <c r="C813" s="119" t="s">
        <v>935</v>
      </c>
      <c r="D813" s="120" t="s">
        <v>1005</v>
      </c>
      <c r="E813" s="120">
        <f>SUM(E811:E812)</f>
        <v>0</v>
      </c>
      <c r="G813" s="119">
        <v>4320</v>
      </c>
      <c r="H813" s="120" t="s">
        <v>1006</v>
      </c>
      <c r="I813" s="120">
        <f>'eoy24'!G1088</f>
        <v>0</v>
      </c>
      <c r="L813" s="30">
        <f>ABS(E813-I813)</f>
        <v>0</v>
      </c>
    </row>
    <row r="814" spans="1:12" ht="15" hidden="1" customHeight="1">
      <c r="A814" s="700">
        <f>A815</f>
        <v>0</v>
      </c>
      <c r="B814" s="556" t="s">
        <v>1007</v>
      </c>
      <c r="C814" s="698"/>
      <c r="D814" s="557"/>
      <c r="E814" s="558"/>
      <c r="F814" s="558"/>
      <c r="G814" s="558"/>
      <c r="H814" s="558"/>
      <c r="I814" s="557"/>
    </row>
    <row r="815" spans="1:12" ht="39.6" hidden="1">
      <c r="A815" s="565">
        <f>IF(AND(E815=0,('eoy24'!F40+'eoy24'!F44)&gt;10000),1,0)</f>
        <v>0</v>
      </c>
      <c r="C815" s="566">
        <v>3930</v>
      </c>
      <c r="D815" s="72" t="s">
        <v>1008</v>
      </c>
      <c r="E815" s="30">
        <f>'eoy24'!M1023</f>
        <v>681372</v>
      </c>
      <c r="H815" s="114" t="s">
        <v>1009</v>
      </c>
    </row>
    <row r="816" spans="1:12" ht="15" hidden="1" customHeight="1">
      <c r="A816" s="700">
        <f>A817</f>
        <v>0</v>
      </c>
      <c r="B816" s="556" t="s">
        <v>1010</v>
      </c>
      <c r="C816" s="698"/>
      <c r="D816" s="557"/>
      <c r="E816" s="558"/>
      <c r="F816" s="558"/>
      <c r="G816" s="558"/>
      <c r="H816" s="558"/>
      <c r="I816" s="557"/>
    </row>
    <row r="817" spans="1:9" ht="15" hidden="1" customHeight="1">
      <c r="A817" s="80">
        <f>IF(A$821=1,1,0)</f>
        <v>0</v>
      </c>
      <c r="G817" s="63">
        <v>1741</v>
      </c>
      <c r="H817" s="30" t="s">
        <v>1011</v>
      </c>
      <c r="I817" s="30">
        <f>'eoy24'!I453</f>
        <v>0</v>
      </c>
    </row>
    <row r="818" spans="1:9" ht="15" hidden="1" customHeight="1">
      <c r="A818" s="80">
        <f>IF(A$821=1,1,0)</f>
        <v>0</v>
      </c>
      <c r="G818" s="63">
        <v>2100</v>
      </c>
      <c r="H818" s="114" t="s">
        <v>1012</v>
      </c>
      <c r="I818" s="30">
        <f>'eoy24'!I520</f>
        <v>0</v>
      </c>
    </row>
    <row r="819" spans="1:9" ht="15" hidden="1" customHeight="1">
      <c r="A819" s="80">
        <f>IF(A$821=1,1,0)</f>
        <v>0</v>
      </c>
      <c r="G819" s="218">
        <v>7190</v>
      </c>
      <c r="H819" s="602" t="s">
        <v>1013</v>
      </c>
      <c r="I819" s="30">
        <f>'eoy24'!I1120</f>
        <v>446825</v>
      </c>
    </row>
    <row r="820" spans="1:9" ht="15" hidden="1" customHeight="1">
      <c r="A820" s="80">
        <f>IF(A$821=1,1,0)</f>
        <v>0</v>
      </c>
      <c r="G820" s="218">
        <v>7560</v>
      </c>
      <c r="H820" s="602" t="s">
        <v>1014</v>
      </c>
      <c r="I820" s="30">
        <f>'eoy24'!I1163</f>
        <v>0</v>
      </c>
    </row>
    <row r="821" spans="1:9" ht="15" hidden="1" customHeight="1">
      <c r="A821" s="30">
        <f>IF(AND(E821&gt;0,I821=0),1,0)</f>
        <v>0</v>
      </c>
      <c r="C821" s="119">
        <v>130</v>
      </c>
      <c r="D821" s="120" t="s">
        <v>1015</v>
      </c>
      <c r="E821" s="120">
        <f>'eoy24'!I30</f>
        <v>0</v>
      </c>
      <c r="F821" s="120"/>
      <c r="G821" s="120"/>
      <c r="H821" s="120" t="s">
        <v>1016</v>
      </c>
      <c r="I821" s="120">
        <f>SUM(I817:I820)</f>
        <v>446825</v>
      </c>
    </row>
    <row r="822" spans="1:9" ht="15" hidden="1" customHeight="1">
      <c r="A822" s="80">
        <f>IF(A$821=1,1,0)</f>
        <v>0</v>
      </c>
      <c r="C822" s="119"/>
      <c r="D822" s="120"/>
      <c r="E822" s="120"/>
      <c r="F822" s="120"/>
      <c r="G822" s="120"/>
      <c r="H822" s="120"/>
      <c r="I822" s="120"/>
    </row>
    <row r="823" spans="1:9" ht="15" hidden="1" customHeight="1">
      <c r="A823" s="700">
        <f>A824</f>
        <v>0</v>
      </c>
      <c r="B823" s="556" t="s">
        <v>1017</v>
      </c>
      <c r="C823" s="559"/>
      <c r="D823" s="557"/>
      <c r="E823" s="557"/>
      <c r="F823" s="557"/>
      <c r="G823" s="557"/>
      <c r="H823" s="557"/>
      <c r="I823" s="557"/>
    </row>
    <row r="824" spans="1:9" ht="15" hidden="1" customHeight="1">
      <c r="A824" s="30">
        <f>IF($E$825&gt;0,1,0)</f>
        <v>0</v>
      </c>
    </row>
    <row r="825" spans="1:9" ht="15" hidden="1" customHeight="1">
      <c r="A825" s="30">
        <f>IF($E$825&gt;0,1,0)</f>
        <v>0</v>
      </c>
      <c r="D825" s="120" t="s">
        <v>1018</v>
      </c>
      <c r="E825" s="30">
        <f>schedule18!H50</f>
        <v>0</v>
      </c>
    </row>
    <row r="826" spans="1:9" ht="15" hidden="1" customHeight="1">
      <c r="A826" s="30">
        <f>IF($E$825&gt;0,1,0)</f>
        <v>0</v>
      </c>
      <c r="D826" s="120"/>
      <c r="E826" s="120"/>
    </row>
    <row r="827" spans="1:9" ht="15" hidden="1" customHeight="1">
      <c r="A827" s="557">
        <f>IF(SUM($A$831:$A$847)&gt;0,1,0)</f>
        <v>0</v>
      </c>
      <c r="B827" s="599" t="s">
        <v>1019</v>
      </c>
      <c r="C827" s="600"/>
      <c r="D827" s="601"/>
      <c r="E827" s="601"/>
      <c r="F827" s="557"/>
      <c r="G827" s="557"/>
      <c r="H827" s="557"/>
      <c r="I827" s="557"/>
    </row>
    <row r="828" spans="1:9" ht="15" hidden="1" customHeight="1">
      <c r="A828" s="30">
        <f>IF(SUM($A$831:$A$847)&gt;0,1,0)</f>
        <v>0</v>
      </c>
      <c r="B828" s="62"/>
    </row>
    <row r="829" spans="1:9" ht="15" hidden="1" customHeight="1">
      <c r="A829" s="30">
        <f>IF(SUM($A$831:$A$847)&gt;0,1,0)</f>
        <v>0</v>
      </c>
      <c r="B829" s="62"/>
      <c r="C829" s="128" t="s">
        <v>38</v>
      </c>
      <c r="D829" s="120" t="s">
        <v>895</v>
      </c>
      <c r="E829" s="120" t="s">
        <v>864</v>
      </c>
    </row>
    <row r="830" spans="1:9" ht="15" hidden="1" customHeight="1">
      <c r="A830" s="30">
        <f>IF(SUM($A$831:$A$847)&gt;0,1,0)</f>
        <v>0</v>
      </c>
      <c r="B830" s="62"/>
    </row>
    <row r="831" spans="1:9" ht="15" hidden="1" customHeight="1">
      <c r="A831" s="30">
        <f>IF(SUM($E$832:$E$835,$E$837:$E$840,$E$842)=0,1,0)</f>
        <v>0</v>
      </c>
      <c r="C831" s="120" t="s">
        <v>1020</v>
      </c>
    </row>
    <row r="832" spans="1:9" ht="15" hidden="1" customHeight="1">
      <c r="A832" s="30">
        <f>IF(SUM($E$832:$E$835,$E$837:$E$840,$E$842)=0,1,0)</f>
        <v>0</v>
      </c>
      <c r="C832" s="63">
        <v>1664</v>
      </c>
      <c r="D832" s="30" t="s">
        <v>91</v>
      </c>
      <c r="E832" s="30">
        <f>'eoy24'!J402</f>
        <v>0</v>
      </c>
    </row>
    <row r="833" spans="1:9" ht="15" hidden="1" customHeight="1">
      <c r="A833" s="30">
        <f t="shared" ref="A833:A841" si="21">IF(SUM($E$832:$E$835,$E$837:$E$840,$E$842)=0,1,0)</f>
        <v>0</v>
      </c>
      <c r="C833" s="63">
        <v>1665</v>
      </c>
      <c r="D833" s="30" t="s">
        <v>84</v>
      </c>
      <c r="E833" s="30">
        <f>'eoy24'!J403</f>
        <v>0</v>
      </c>
    </row>
    <row r="834" spans="1:9" ht="15" hidden="1" customHeight="1">
      <c r="A834" s="30">
        <f t="shared" si="21"/>
        <v>0</v>
      </c>
      <c r="C834" s="63">
        <v>1666</v>
      </c>
      <c r="D834" s="30" t="s">
        <v>85</v>
      </c>
      <c r="E834" s="30">
        <f>'eoy24'!J404</f>
        <v>0</v>
      </c>
    </row>
    <row r="835" spans="1:9" ht="15" hidden="1" customHeight="1">
      <c r="A835" s="30">
        <f t="shared" si="21"/>
        <v>0</v>
      </c>
      <c r="C835" s="63">
        <v>1667</v>
      </c>
      <c r="D835" s="30" t="s">
        <v>86</v>
      </c>
      <c r="E835" s="30">
        <f>'eoy24'!J405</f>
        <v>0</v>
      </c>
    </row>
    <row r="836" spans="1:9" ht="15" hidden="1" customHeight="1">
      <c r="A836" s="30">
        <f t="shared" si="21"/>
        <v>0</v>
      </c>
      <c r="C836" s="120" t="s">
        <v>1021</v>
      </c>
    </row>
    <row r="837" spans="1:9" ht="15" hidden="1" customHeight="1">
      <c r="A837" s="30">
        <f t="shared" si="21"/>
        <v>0</v>
      </c>
      <c r="C837" s="63">
        <v>2003</v>
      </c>
      <c r="D837" s="30" t="s">
        <v>91</v>
      </c>
      <c r="E837" s="30">
        <f>'eoy24'!J504</f>
        <v>15748</v>
      </c>
    </row>
    <row r="838" spans="1:9" ht="15" hidden="1" customHeight="1">
      <c r="A838" s="30">
        <f t="shared" si="21"/>
        <v>0</v>
      </c>
      <c r="C838" s="63">
        <v>2004</v>
      </c>
      <c r="D838" s="30" t="s">
        <v>84</v>
      </c>
      <c r="E838" s="30">
        <f>'eoy24'!J505</f>
        <v>0</v>
      </c>
    </row>
    <row r="839" spans="1:9" ht="15" hidden="1" customHeight="1">
      <c r="A839" s="30">
        <f t="shared" si="21"/>
        <v>0</v>
      </c>
      <c r="C839" s="63">
        <v>2005</v>
      </c>
      <c r="D839" s="30" t="s">
        <v>85</v>
      </c>
      <c r="E839" s="30">
        <f>'eoy24'!J506</f>
        <v>0</v>
      </c>
    </row>
    <row r="840" spans="1:9" ht="15" hidden="1" customHeight="1">
      <c r="A840" s="30">
        <f t="shared" si="21"/>
        <v>0</v>
      </c>
      <c r="C840" s="63">
        <v>2006</v>
      </c>
      <c r="D840" s="30" t="s">
        <v>86</v>
      </c>
      <c r="E840" s="30">
        <f>'eoy24'!J507</f>
        <v>0</v>
      </c>
    </row>
    <row r="841" spans="1:9" ht="15" hidden="1" customHeight="1">
      <c r="A841" s="30">
        <f t="shared" si="21"/>
        <v>0</v>
      </c>
      <c r="C841" s="128" t="s">
        <v>1022</v>
      </c>
    </row>
    <row r="842" spans="1:9" ht="15" hidden="1" customHeight="1">
      <c r="A842" s="30">
        <f>IF(SUM($E$832:$E$835,$E$837:$E$840,$E$842)=0,1,0)</f>
        <v>0</v>
      </c>
      <c r="C842" s="63">
        <v>2992</v>
      </c>
      <c r="D842" s="30" t="s">
        <v>148</v>
      </c>
      <c r="E842" s="30">
        <f>'eoy24'!Q605</f>
        <v>0</v>
      </c>
    </row>
    <row r="843" spans="1:9" ht="15" hidden="1" customHeight="1">
      <c r="A843" s="30">
        <f>IF(SUM($E$832:$E$835,$E$837:$E$840,$E$842)=0,1,0)</f>
        <v>0</v>
      </c>
      <c r="C843" s="63"/>
    </row>
    <row r="844" spans="1:9" ht="15" hidden="1" customHeight="1">
      <c r="A844" s="1">
        <v>0</v>
      </c>
      <c r="C844" s="128"/>
    </row>
    <row r="845" spans="1:9" ht="15" hidden="1" customHeight="1">
      <c r="A845" s="1">
        <v>0</v>
      </c>
      <c r="C845" s="63"/>
    </row>
    <row r="846" spans="1:9" ht="15" hidden="1" customHeight="1">
      <c r="A846" s="1">
        <v>0</v>
      </c>
      <c r="C846" s="128"/>
    </row>
    <row r="847" spans="1:9" ht="15" hidden="1" customHeight="1">
      <c r="A847" s="1">
        <v>0</v>
      </c>
      <c r="C847" s="63"/>
    </row>
    <row r="848" spans="1:9" ht="15" hidden="1" customHeight="1">
      <c r="A848" s="557">
        <f ca="1">IF(OR($A$851=1,A854=1),1,0)</f>
        <v>0</v>
      </c>
      <c r="B848" s="556" t="s">
        <v>1023</v>
      </c>
      <c r="C848" s="559"/>
      <c r="D848" s="557"/>
      <c r="E848" s="557"/>
      <c r="F848" s="557"/>
      <c r="G848" s="557"/>
      <c r="H848" s="557"/>
      <c r="I848" s="557"/>
    </row>
    <row r="849" spans="1:9" ht="15" hidden="1" customHeight="1">
      <c r="A849" s="1">
        <f ca="1">A851</f>
        <v>0</v>
      </c>
    </row>
    <row r="850" spans="1:9" ht="15" hidden="1" customHeight="1">
      <c r="A850" s="30">
        <f ca="1">A851</f>
        <v>0</v>
      </c>
      <c r="C850" s="128" t="s">
        <v>1024</v>
      </c>
      <c r="H850" s="128" t="s">
        <v>100</v>
      </c>
    </row>
    <row r="851" spans="1:9" ht="15" hidden="1" customHeight="1">
      <c r="A851" s="30">
        <f ca="1">IFERROR(IF(E851/I851&lt;0.9,1,0),1)</f>
        <v>0</v>
      </c>
      <c r="C851" s="65" t="s">
        <v>1025</v>
      </c>
      <c r="D851" s="256"/>
      <c r="E851" s="30">
        <f ca="1">reports!F263</f>
        <v>23742018</v>
      </c>
      <c r="G851" s="30" t="s">
        <v>640</v>
      </c>
      <c r="I851" s="30">
        <f>reports!E263</f>
        <v>25613574.8929496</v>
      </c>
    </row>
    <row r="852" spans="1:9" ht="15" hidden="1" customHeight="1">
      <c r="A852" s="30">
        <f ca="1">A854</f>
        <v>0</v>
      </c>
      <c r="C852" s="257"/>
      <c r="D852" s="256"/>
    </row>
    <row r="853" spans="1:9" ht="15" hidden="1" customHeight="1">
      <c r="A853" s="30">
        <f ca="1">A854</f>
        <v>0</v>
      </c>
      <c r="C853" s="128" t="s">
        <v>1026</v>
      </c>
    </row>
    <row r="854" spans="1:9" ht="15" hidden="1" customHeight="1">
      <c r="A854" s="30">
        <f ca="1">IFERROR(IF(E854/I854&lt;1,1,0),1)</f>
        <v>0</v>
      </c>
      <c r="C854" s="65" t="s">
        <v>1025</v>
      </c>
      <c r="D854" s="256"/>
      <c r="E854" s="30">
        <f ca="1">reports!F266</f>
        <v>6021812</v>
      </c>
      <c r="G854" s="30" t="s">
        <v>640</v>
      </c>
      <c r="I854" s="30">
        <f>reports!E266</f>
        <v>5543034.6829495998</v>
      </c>
    </row>
    <row r="855" spans="1:9" ht="15" hidden="1" customHeight="1">
      <c r="A855" s="30">
        <f ca="1">A854</f>
        <v>0</v>
      </c>
      <c r="C855" s="65"/>
      <c r="D855" s="256"/>
      <c r="F855" s="258"/>
    </row>
    <row r="856" spans="1:9" ht="15" hidden="1" customHeight="1">
      <c r="A856" s="30">
        <f ca="1">A854</f>
        <v>0</v>
      </c>
      <c r="C856" s="260" t="s">
        <v>1027</v>
      </c>
      <c r="D856" s="256"/>
    </row>
    <row r="857" spans="1:9" ht="15" hidden="1" customHeight="1">
      <c r="A857" s="30">
        <f ca="1">A854</f>
        <v>0</v>
      </c>
      <c r="C857" s="257" t="s">
        <v>1028</v>
      </c>
      <c r="D857" s="256"/>
    </row>
    <row r="858" spans="1:9" ht="15" hidden="1" customHeight="1">
      <c r="A858" s="30">
        <f ca="1">A854</f>
        <v>0</v>
      </c>
      <c r="C858" s="257"/>
      <c r="D858" s="256"/>
    </row>
    <row r="859" spans="1:9" ht="15" customHeight="1">
      <c r="A859" s="557">
        <f ca="1">calcmisc!$J$6</f>
        <v>1</v>
      </c>
      <c r="B859" s="556" t="s">
        <v>1029</v>
      </c>
      <c r="C859" s="559"/>
      <c r="D859" s="557"/>
      <c r="E859" s="557"/>
      <c r="F859" s="557"/>
      <c r="G859" s="557"/>
      <c r="H859" s="557"/>
      <c r="I859" s="557"/>
    </row>
    <row r="860" spans="1:9" ht="15" customHeight="1">
      <c r="A860" s="30">
        <f ca="1">calcmisc!$J$6</f>
        <v>1</v>
      </c>
      <c r="B860" s="62"/>
    </row>
    <row r="861" spans="1:9" ht="15" customHeight="1">
      <c r="A861" s="30">
        <f ca="1">calcmisc!$J$6</f>
        <v>1</v>
      </c>
      <c r="C861" s="128" t="s">
        <v>1030</v>
      </c>
    </row>
    <row r="862" spans="1:9" ht="15" customHeight="1">
      <c r="A862" s="30">
        <f ca="1">calcmisc!$J$6</f>
        <v>1</v>
      </c>
      <c r="C862" s="263"/>
    </row>
    <row r="863" spans="1:9" ht="15" customHeight="1">
      <c r="A863" s="557">
        <f>$A$865</f>
        <v>0</v>
      </c>
      <c r="B863" s="556" t="s">
        <v>1031</v>
      </c>
      <c r="C863" s="559"/>
      <c r="D863" s="557"/>
      <c r="E863" s="557"/>
      <c r="F863" s="557"/>
      <c r="G863" s="557"/>
      <c r="H863" s="557"/>
      <c r="I863" s="557"/>
    </row>
    <row r="864" spans="1:9" ht="15" customHeight="1">
      <c r="A864" s="30">
        <f>$A$865</f>
        <v>0</v>
      </c>
      <c r="B864" s="62"/>
    </row>
    <row r="865" spans="1:9" ht="15" customHeight="1">
      <c r="A865" s="30">
        <f>IF($E$865&gt;=9,1,0)</f>
        <v>0</v>
      </c>
      <c r="C865" s="120" t="s">
        <v>1018</v>
      </c>
      <c r="D865" s="120"/>
      <c r="E865" s="120">
        <f>'excess cost'!G67</f>
        <v>0</v>
      </c>
      <c r="G865" s="30" t="s">
        <v>100</v>
      </c>
    </row>
    <row r="866" spans="1:9" ht="15" customHeight="1">
      <c r="A866" s="30">
        <f>$A$865</f>
        <v>0</v>
      </c>
      <c r="D866" s="120"/>
      <c r="E866" s="120"/>
    </row>
    <row r="867" spans="1:9" ht="15" customHeight="1">
      <c r="A867" s="557">
        <f ca="1">IF($E$869&gt;0,1,0)</f>
        <v>0</v>
      </c>
      <c r="B867" s="556" t="s">
        <v>1032</v>
      </c>
      <c r="C867" s="559"/>
      <c r="D867" s="557"/>
      <c r="E867" s="557"/>
      <c r="F867" s="557"/>
      <c r="G867" s="557"/>
      <c r="H867" s="557"/>
      <c r="I867" s="557"/>
    </row>
    <row r="868" spans="1:9" ht="15" customHeight="1">
      <c r="A868" s="30">
        <f ca="1">IF($E$869&gt;0,1,0)</f>
        <v>0</v>
      </c>
    </row>
    <row r="869" spans="1:9" ht="15" customHeight="1">
      <c r="A869" s="30">
        <f ca="1">IF($E$869&gt;0,1,0)</f>
        <v>0</v>
      </c>
      <c r="C869" s="120" t="s">
        <v>1033</v>
      </c>
      <c r="D869" s="120"/>
      <c r="E869" s="490">
        <f ca="1">reports!K262</f>
        <v>0</v>
      </c>
    </row>
    <row r="870" spans="1:9" ht="15" customHeight="1">
      <c r="A870" s="30">
        <f ca="1">IF($E$869&gt;0,1,0)</f>
        <v>0</v>
      </c>
      <c r="C870" s="61" t="s">
        <v>1034</v>
      </c>
    </row>
    <row r="871" spans="1:9" ht="15" customHeight="1">
      <c r="A871" s="30">
        <f ca="1">IF($E$869&gt;0,1,0)</f>
        <v>0</v>
      </c>
    </row>
    <row r="872" spans="1:9" ht="15" hidden="1" customHeight="1">
      <c r="A872" s="557">
        <f>IF(OR($A$874=1,$A$876=1),1,0)</f>
        <v>0</v>
      </c>
      <c r="B872" s="556" t="s">
        <v>1035</v>
      </c>
      <c r="C872" s="559"/>
      <c r="D872" s="557"/>
      <c r="E872" s="560"/>
      <c r="F872" s="557"/>
      <c r="G872" s="557"/>
      <c r="H872" s="557"/>
      <c r="I872" s="557"/>
    </row>
    <row r="873" spans="1:9" ht="15" hidden="1" customHeight="1">
      <c r="A873" s="30">
        <f>IF(OR($A$874=1,$A$876=1),1,0)</f>
        <v>0</v>
      </c>
    </row>
    <row r="874" spans="1:9" ht="15" hidden="1" customHeight="1">
      <c r="A874" s="30">
        <f>IF(VALUE('eoy24'!$C$7)&lt;600,0,IF(AND(VALUE('eoy24'!$C$7)&gt;599,'eoy24'!$L$644="",'eoy24'!$L$646=""),1,0))</f>
        <v>0</v>
      </c>
      <c r="C874" s="61" t="s">
        <v>1036</v>
      </c>
      <c r="I874" s="80"/>
    </row>
    <row r="875" spans="1:9" ht="15" hidden="1" customHeight="1">
      <c r="A875" s="30">
        <f>IF(OR($A$874=1,$A$876=1),1,0)</f>
        <v>0</v>
      </c>
    </row>
    <row r="876" spans="1:9" ht="15" hidden="1" customHeight="1">
      <c r="A876" s="30">
        <f>IF(VALUE('eoy24'!$C$7)&lt;600,0,IF(AND(VALUE('eoy24'!$C$7)&gt;599,'eoy24'!$N$1207="",'eoy24'!$N$1209=""),1,0))</f>
        <v>0</v>
      </c>
      <c r="C876" s="61" t="s">
        <v>1037</v>
      </c>
      <c r="I876" s="80"/>
    </row>
    <row r="877" spans="1:9" ht="15" hidden="1" customHeight="1">
      <c r="A877" s="30">
        <f>IF(OR($A$874=1,$A$876=1),1,0)</f>
        <v>0</v>
      </c>
    </row>
    <row r="878" spans="1:9" ht="15" hidden="1" customHeight="1">
      <c r="A878" s="557">
        <f>IF($A$880=1,1,0)</f>
        <v>0</v>
      </c>
      <c r="B878" s="556" t="s">
        <v>1038</v>
      </c>
      <c r="C878" s="559"/>
      <c r="D878" s="557"/>
      <c r="E878" s="557"/>
      <c r="F878" s="557"/>
      <c r="G878" s="557"/>
      <c r="H878" s="557"/>
      <c r="I878" s="557"/>
    </row>
    <row r="879" spans="1:9" ht="15" hidden="1" customHeight="1">
      <c r="A879" s="30">
        <f>IF($A$880=1,1,0)</f>
        <v>0</v>
      </c>
    </row>
    <row r="880" spans="1:9" ht="15" hidden="1" customHeight="1">
      <c r="A880" s="30">
        <f>IF('eoy24'!K667&lt;&gt;0,1,0)</f>
        <v>0</v>
      </c>
      <c r="C880" s="61" t="s">
        <v>1039</v>
      </c>
      <c r="E880" s="30">
        <f>'eoy24'!K667</f>
        <v>0</v>
      </c>
    </row>
    <row r="881" spans="1:9" ht="15" hidden="1" customHeight="1">
      <c r="A881" s="30">
        <f>IF($A$880=1,1,0)</f>
        <v>0</v>
      </c>
    </row>
    <row r="882" spans="1:9" ht="15" hidden="1" customHeight="1">
      <c r="A882" s="557">
        <f ca="1">IF(SUM($A$884:$A$894)&gt;0,1,0)</f>
        <v>0</v>
      </c>
      <c r="B882" s="556" t="s">
        <v>1040</v>
      </c>
      <c r="C882" s="559"/>
      <c r="D882" s="557"/>
      <c r="E882" s="557"/>
      <c r="F882" s="557"/>
      <c r="G882" s="557"/>
      <c r="H882" s="557"/>
      <c r="I882" s="557"/>
    </row>
    <row r="883" spans="1:9" ht="15" hidden="1" customHeight="1">
      <c r="A883" s="30">
        <f ca="1">IF(SUM($A$884:$A$894)&gt;0,1,0)</f>
        <v>0</v>
      </c>
    </row>
    <row r="884" spans="1:9" ht="15" hidden="1" customHeight="1">
      <c r="A884" s="30">
        <f ca="1">IF(E884&lt;=0,1,0)</f>
        <v>0</v>
      </c>
      <c r="C884" s="61" t="s">
        <v>1041</v>
      </c>
      <c r="E884" s="30">
        <f ca="1">MAX('eoy24'!J473-SUM('eoy24'!J464:'eoy24'!J466,'eoy24'!J468),0)</f>
        <v>20700534</v>
      </c>
    </row>
    <row r="885" spans="1:9" ht="15" hidden="1" customHeight="1">
      <c r="A885" s="30">
        <f ca="1">IF(AND(VALUE('eoy24'!$C$7)&lt;600,E885&lt;=0),1,0)</f>
        <v>0</v>
      </c>
      <c r="C885" s="61" t="s">
        <v>1042</v>
      </c>
      <c r="E885" s="30">
        <f ca="1">MAX('eoy24'!J538-SUM('eoy24'!J528:'eoy24'!J530,'eoy24'!J532),0)</f>
        <v>5768166</v>
      </c>
    </row>
    <row r="886" spans="1:9" ht="15" hidden="1" customHeight="1">
      <c r="A886" s="30">
        <f ca="1">IF(E886&lt;=0,1,0)</f>
        <v>0</v>
      </c>
      <c r="C886" s="61" t="s">
        <v>1043</v>
      </c>
      <c r="E886" s="30">
        <f ca="1">'eoy24'!Q632</f>
        <v>3945222</v>
      </c>
    </row>
    <row r="887" spans="1:9" ht="15" hidden="1" customHeight="1">
      <c r="A887" s="30">
        <f>IF(AND(VALUE('eoy24'!$C$7)&gt;599,VALUE('eoy24'!$C$7)&lt;900,E887&lt;=0),1,0)</f>
        <v>0</v>
      </c>
      <c r="C887" s="61" t="s">
        <v>1044</v>
      </c>
      <c r="E887" s="30">
        <f>'eoy24'!J667</f>
        <v>0</v>
      </c>
    </row>
    <row r="888" spans="1:9" ht="15" hidden="1" customHeight="1">
      <c r="A888" s="30">
        <f ca="1">IF(E888&lt;=0,1,0)</f>
        <v>0</v>
      </c>
      <c r="C888" s="61" t="s">
        <v>1045</v>
      </c>
      <c r="E888" s="30">
        <f ca="1">'eoy24'!O996</f>
        <v>13665265</v>
      </c>
    </row>
    <row r="889" spans="1:9" ht="15" hidden="1" customHeight="1">
      <c r="A889" s="30">
        <f ca="1">IF(E889&lt;=0,1,0)</f>
        <v>0</v>
      </c>
      <c r="C889" s="61" t="s">
        <v>944</v>
      </c>
      <c r="E889" s="30">
        <f ca="1">MAX('eoy24'!M1024-SUM('eoy24'!M1015:'eoy24'!M1016),0)</f>
        <v>5855128</v>
      </c>
    </row>
    <row r="890" spans="1:9" ht="15" hidden="1" customHeight="1">
      <c r="A890" s="30">
        <f>IF(E890&lt;=0,1,0)</f>
        <v>0</v>
      </c>
      <c r="C890" s="61" t="s">
        <v>1046</v>
      </c>
      <c r="E890" s="30">
        <f>'eoy24'!I1085</f>
        <v>1284608</v>
      </c>
    </row>
    <row r="891" spans="1:9" ht="15" hidden="1" customHeight="1">
      <c r="A891" s="30">
        <f ca="1">IF(E891&lt;=0,1,0)</f>
        <v>0</v>
      </c>
      <c r="C891" s="61" t="s">
        <v>1047</v>
      </c>
      <c r="E891" s="30">
        <f ca="1">MAX('eoy24'!J1132-SUM('eoy24'!J1124:'eoy24'!J1126,'eoy24'!J1128),0)</f>
        <v>24851494</v>
      </c>
    </row>
    <row r="892" spans="1:9" ht="15" hidden="1" customHeight="1">
      <c r="A892" s="30">
        <f ca="1">IF(AND(VALUE('eoy24'!$C$7)&lt;600,E892&lt;=0),1,0)</f>
        <v>0</v>
      </c>
      <c r="C892" s="61" t="s">
        <v>1048</v>
      </c>
      <c r="E892" s="30">
        <f ca="1">MAX('eoy24'!J1176-SUM('eoy24'!J1167:'eoy24'!J1169,'eoy24'!J1171),0)</f>
        <v>1695645.57</v>
      </c>
    </row>
    <row r="893" spans="1:9" ht="15" hidden="1" customHeight="1">
      <c r="A893" s="80">
        <f>IF(OR(E893&gt;0,AND('eoy24'!J27-('eoy24'!J20+'eoy24'!J23+'eoy24'!J24+'eoy24'!J25+'eoy24'!J26)=0,E893=0)),0,1)</f>
        <v>0</v>
      </c>
      <c r="C893" s="61" t="s">
        <v>1049</v>
      </c>
      <c r="E893" s="30">
        <f>'eoy24'!J1195</f>
        <v>186000</v>
      </c>
    </row>
    <row r="894" spans="1:9" ht="15" hidden="1" customHeight="1">
      <c r="A894" s="30">
        <f>IF(AND(VALUE('eoy24'!$C$7)&gt;599,VALUE('eoy24'!$C$7)&lt;900,E894&lt;=0),1,0)</f>
        <v>0</v>
      </c>
      <c r="C894" s="61" t="s">
        <v>1050</v>
      </c>
      <c r="E894" s="30">
        <f>'eoy24'!J1231</f>
        <v>0</v>
      </c>
    </row>
    <row r="895" spans="1:9" ht="15" hidden="1" customHeight="1">
      <c r="A895" s="1">
        <f ca="1">IF($A$882=1,1,0)</f>
        <v>0</v>
      </c>
    </row>
    <row r="896" spans="1:9" ht="15" hidden="1" customHeight="1">
      <c r="A896" s="557">
        <f>IF($E$898=0,1,0)</f>
        <v>0</v>
      </c>
      <c r="B896" s="556" t="s">
        <v>1051</v>
      </c>
      <c r="C896" s="557"/>
      <c r="D896" s="557"/>
      <c r="E896" s="557"/>
      <c r="F896" s="557"/>
      <c r="G896" s="557"/>
      <c r="H896" s="557"/>
      <c r="I896" s="557"/>
    </row>
    <row r="897" spans="1:9" ht="15" hidden="1" customHeight="1">
      <c r="A897" s="30">
        <f>IF($E$898=0,1,0)</f>
        <v>0</v>
      </c>
    </row>
    <row r="898" spans="1:9" ht="15" hidden="1" customHeight="1">
      <c r="A898" s="30">
        <f>IF($E$898=0,1,0)</f>
        <v>0</v>
      </c>
      <c r="C898" s="128" t="s">
        <v>1052</v>
      </c>
      <c r="E898" s="120">
        <f>'eoy24'!L1012+'eoy24'!L1023</f>
        <v>284651</v>
      </c>
    </row>
    <row r="899" spans="1:9" ht="15" hidden="1" customHeight="1">
      <c r="A899" s="30">
        <f>IF($A$896=1,1,0)</f>
        <v>0</v>
      </c>
    </row>
    <row r="900" spans="1:9" ht="15" hidden="1" customHeight="1">
      <c r="A900" s="557">
        <f>IF(OR(A911=1,A917=1),1,0)</f>
        <v>0</v>
      </c>
      <c r="B900" s="556" t="s">
        <v>1053</v>
      </c>
      <c r="C900" s="557"/>
      <c r="D900" s="557"/>
      <c r="E900" s="557"/>
      <c r="F900" s="557"/>
      <c r="G900" s="557"/>
      <c r="H900" s="557"/>
      <c r="I900" s="557"/>
    </row>
    <row r="901" spans="1:9" ht="15" hidden="1" customHeight="1">
      <c r="A901" s="1">
        <f>IF($A$900=1,1,0)</f>
        <v>0</v>
      </c>
      <c r="B901" s="1"/>
      <c r="C901" s="30"/>
      <c r="F901" s="1"/>
      <c r="G901" s="1"/>
      <c r="H901" s="1"/>
      <c r="I901" s="1"/>
    </row>
    <row r="902" spans="1:9" ht="15" hidden="1" customHeight="1">
      <c r="A902" s="1">
        <f>IF($A$900=1,1,0)</f>
        <v>0</v>
      </c>
      <c r="B902" s="1"/>
      <c r="C902" s="128" t="s">
        <v>38</v>
      </c>
      <c r="D902" s="120" t="s">
        <v>895</v>
      </c>
      <c r="E902" s="120" t="s">
        <v>864</v>
      </c>
      <c r="F902" s="1"/>
      <c r="G902" s="1"/>
      <c r="H902" s="1"/>
      <c r="I902" s="1"/>
    </row>
    <row r="903" spans="1:9" ht="15" hidden="1" customHeight="1">
      <c r="A903" s="1">
        <f>IF($A$911=1,1,0)</f>
        <v>0</v>
      </c>
      <c r="B903" s="1"/>
      <c r="C903" s="604" t="s">
        <v>1054</v>
      </c>
      <c r="D903" s="1"/>
      <c r="E903" s="1"/>
      <c r="F903" s="1"/>
      <c r="G903" s="604" t="s">
        <v>1055</v>
      </c>
      <c r="H903" s="605"/>
      <c r="I903" s="605"/>
    </row>
    <row r="904" spans="1:9" ht="15" hidden="1" customHeight="1">
      <c r="A904" s="1">
        <f>IF($A$911=1,1,0)</f>
        <v>0</v>
      </c>
      <c r="B904" s="1"/>
      <c r="C904" s="218">
        <v>1741</v>
      </c>
      <c r="D904" s="90" t="s">
        <v>165</v>
      </c>
      <c r="E904" s="1">
        <f>'eoy24'!J453</f>
        <v>0</v>
      </c>
      <c r="F904" s="1"/>
      <c r="G904" s="218" t="s">
        <v>38</v>
      </c>
      <c r="H904" s="83" t="s">
        <v>863</v>
      </c>
      <c r="I904" s="83" t="s">
        <v>133</v>
      </c>
    </row>
    <row r="905" spans="1:9" ht="15" hidden="1" customHeight="1">
      <c r="A905" s="1">
        <f t="shared" ref="A905:A910" si="22">IF($A$911=1,1,0)</f>
        <v>0</v>
      </c>
      <c r="B905" s="1"/>
      <c r="C905" s="218">
        <v>1742</v>
      </c>
      <c r="D905" s="90" t="s">
        <v>166</v>
      </c>
      <c r="E905" s="1">
        <f>'eoy24'!J454</f>
        <v>0</v>
      </c>
      <c r="F905" s="1"/>
      <c r="G905" s="606">
        <v>3370</v>
      </c>
      <c r="H905" s="607">
        <v>5</v>
      </c>
      <c r="I905" s="607">
        <f>'eoy24'!I667</f>
        <v>0</v>
      </c>
    </row>
    <row r="906" spans="1:9" ht="15" hidden="1" customHeight="1">
      <c r="A906" s="1">
        <f t="shared" si="22"/>
        <v>0</v>
      </c>
      <c r="B906" s="604"/>
      <c r="C906" s="218">
        <v>1743</v>
      </c>
      <c r="D906" s="90" t="s">
        <v>167</v>
      </c>
      <c r="E906" s="1">
        <f>'eoy24'!J455</f>
        <v>0</v>
      </c>
      <c r="F906" s="1"/>
      <c r="G906" s="1"/>
      <c r="H906" s="1"/>
      <c r="I906" s="1"/>
    </row>
    <row r="907" spans="1:9" ht="15" hidden="1" customHeight="1">
      <c r="A907" s="1">
        <f t="shared" si="22"/>
        <v>0</v>
      </c>
      <c r="B907" s="218"/>
      <c r="C907" s="218">
        <v>1744</v>
      </c>
      <c r="D907" s="90" t="s">
        <v>168</v>
      </c>
      <c r="E907" s="1">
        <f>'eoy24'!J456</f>
        <v>0</v>
      </c>
      <c r="F907" s="1"/>
      <c r="G907" s="1"/>
      <c r="H907" s="1"/>
      <c r="I907" s="1"/>
    </row>
    <row r="908" spans="1:9" ht="15" hidden="1" customHeight="1">
      <c r="A908" s="1">
        <f t="shared" si="22"/>
        <v>0</v>
      </c>
      <c r="B908" s="606"/>
      <c r="C908" s="218">
        <v>1751</v>
      </c>
      <c r="D908" s="90" t="s">
        <v>170</v>
      </c>
      <c r="E908" s="1">
        <f>'eoy24'!J459</f>
        <v>0</v>
      </c>
      <c r="F908" s="1"/>
      <c r="G908" s="1"/>
      <c r="H908" s="1"/>
      <c r="I908" s="1"/>
    </row>
    <row r="909" spans="1:9" ht="15" hidden="1" customHeight="1">
      <c r="A909" s="1">
        <f t="shared" si="22"/>
        <v>0</v>
      </c>
      <c r="B909" s="1"/>
      <c r="C909" s="218">
        <v>1752</v>
      </c>
      <c r="D909" s="90" t="s">
        <v>171</v>
      </c>
      <c r="E909" s="1">
        <f>'eoy24'!J460</f>
        <v>0</v>
      </c>
      <c r="F909" s="1"/>
      <c r="G909" s="1"/>
      <c r="H909" s="1"/>
      <c r="I909" s="1"/>
    </row>
    <row r="910" spans="1:9" ht="15" hidden="1" customHeight="1">
      <c r="A910" s="1">
        <f t="shared" si="22"/>
        <v>0</v>
      </c>
      <c r="B910" s="1"/>
      <c r="C910" s="218">
        <v>1753</v>
      </c>
      <c r="D910" s="90" t="s">
        <v>172</v>
      </c>
      <c r="E910" s="1">
        <f>'eoy24'!J461</f>
        <v>0</v>
      </c>
      <c r="F910" s="1"/>
      <c r="G910" s="1"/>
      <c r="H910" s="1"/>
      <c r="I910" s="1"/>
    </row>
    <row r="911" spans="1:9" ht="15" hidden="1" customHeight="1">
      <c r="A911" s="1">
        <f>IF(AND($E$911&gt;0,$I$905=0),1,0)</f>
        <v>0</v>
      </c>
      <c r="B911" s="1"/>
      <c r="C911" s="606" t="s">
        <v>133</v>
      </c>
      <c r="D911" s="1"/>
      <c r="E911" s="118">
        <f>SUM(E904:E910)</f>
        <v>0</v>
      </c>
      <c r="F911" s="1"/>
      <c r="G911" s="1"/>
      <c r="H911" s="1"/>
      <c r="I911" s="1"/>
    </row>
    <row r="912" spans="1:9" ht="15" hidden="1" customHeight="1">
      <c r="A912" s="1">
        <f>IF($A$917=1,1,0)</f>
        <v>0</v>
      </c>
      <c r="B912" s="1"/>
      <c r="C912" s="604" t="s">
        <v>1056</v>
      </c>
      <c r="D912" s="1"/>
      <c r="E912" s="1"/>
      <c r="F912" s="1"/>
      <c r="G912" s="604" t="s">
        <v>1057</v>
      </c>
      <c r="H912" s="605"/>
      <c r="I912" s="605"/>
    </row>
    <row r="913" spans="1:9" ht="15" hidden="1" customHeight="1">
      <c r="A913" s="1">
        <f>IF($A$917=1,1,0)</f>
        <v>0</v>
      </c>
      <c r="B913" s="1"/>
      <c r="C913" s="218">
        <v>7190</v>
      </c>
      <c r="D913" s="90" t="s">
        <v>506</v>
      </c>
      <c r="E913" s="1">
        <f>'eoy24'!J1120</f>
        <v>446825</v>
      </c>
      <c r="F913" s="1"/>
      <c r="G913" s="218" t="s">
        <v>38</v>
      </c>
      <c r="H913" s="83" t="s">
        <v>863</v>
      </c>
      <c r="I913" s="83" t="s">
        <v>133</v>
      </c>
    </row>
    <row r="914" spans="1:9" ht="15" hidden="1" customHeight="1">
      <c r="A914" s="1">
        <f>IF($A$917=1,1,0)</f>
        <v>0</v>
      </c>
      <c r="B914" s="1"/>
      <c r="C914" s="218">
        <v>7200</v>
      </c>
      <c r="D914" s="90" t="s">
        <v>507</v>
      </c>
      <c r="E914" s="1">
        <f>'eoy24'!J1121</f>
        <v>0</v>
      </c>
      <c r="F914" s="118"/>
      <c r="G914" s="606">
        <v>8270</v>
      </c>
      <c r="H914" s="607">
        <v>5</v>
      </c>
      <c r="I914" s="607">
        <f>'eoy24'!I1231</f>
        <v>0</v>
      </c>
    </row>
    <row r="915" spans="1:9" ht="15" hidden="1" customHeight="1">
      <c r="A915" s="1">
        <f>IF($A$917=1,1,0)</f>
        <v>0</v>
      </c>
      <c r="B915" s="1"/>
      <c r="C915" s="218">
        <v>7210</v>
      </c>
      <c r="D915" s="90" t="s">
        <v>203</v>
      </c>
      <c r="E915" s="1">
        <f>'eoy24'!J1122</f>
        <v>0</v>
      </c>
      <c r="F915" s="1"/>
      <c r="G915" s="1"/>
      <c r="H915" s="1"/>
      <c r="I915" s="1"/>
    </row>
    <row r="916" spans="1:9" ht="15" hidden="1" customHeight="1">
      <c r="A916" s="1">
        <f>IF($A$917=1,1,0)</f>
        <v>0</v>
      </c>
      <c r="B916" s="1"/>
      <c r="C916" s="218">
        <v>7270</v>
      </c>
      <c r="D916" s="90" t="s">
        <v>204</v>
      </c>
      <c r="E916" s="1">
        <f>'eoy24'!J1123</f>
        <v>0</v>
      </c>
      <c r="F916" s="1"/>
      <c r="G916" s="1"/>
      <c r="H916" s="1"/>
      <c r="I916" s="1"/>
    </row>
    <row r="917" spans="1:9" ht="15" hidden="1" customHeight="1">
      <c r="A917" s="1">
        <f>IF(AND($E$917&gt;0,$I$914=0),1,0)</f>
        <v>0</v>
      </c>
      <c r="B917" s="1"/>
      <c r="C917" s="606" t="s">
        <v>133</v>
      </c>
      <c r="D917" s="90"/>
      <c r="E917" s="118">
        <f>-SUM(E913:E916)</f>
        <v>-446825</v>
      </c>
      <c r="F917" s="1"/>
      <c r="G917" s="1"/>
      <c r="H917" s="1"/>
      <c r="I917" s="1"/>
    </row>
    <row r="918" spans="1:9" ht="15" hidden="1" customHeight="1">
      <c r="A918" s="1">
        <f>IF($A$900=1,1,0)</f>
        <v>0</v>
      </c>
      <c r="B918" s="1"/>
      <c r="C918" s="606"/>
      <c r="D918" s="90"/>
      <c r="E918" s="118"/>
      <c r="F918" s="1"/>
      <c r="G918" s="1"/>
      <c r="H918" s="1"/>
      <c r="I918" s="1"/>
    </row>
    <row r="919" spans="1:9" ht="15" hidden="1" customHeight="1">
      <c r="A919" s="557">
        <f>IF($A$923=1,1,0)</f>
        <v>0</v>
      </c>
      <c r="B919" s="556" t="s">
        <v>1058</v>
      </c>
      <c r="C919" s="557"/>
      <c r="D919" s="557"/>
      <c r="E919" s="557"/>
      <c r="F919" s="557"/>
      <c r="G919" s="557"/>
      <c r="H919" s="557"/>
      <c r="I919" s="557"/>
    </row>
    <row r="920" spans="1:9" ht="15" hidden="1" customHeight="1">
      <c r="A920" s="1">
        <f>IF($A$919=1,1,0)</f>
        <v>0</v>
      </c>
      <c r="B920" s="1"/>
      <c r="C920" s="218"/>
      <c r="D920" s="90"/>
      <c r="E920" s="1"/>
      <c r="F920" s="1"/>
      <c r="G920" s="1"/>
      <c r="H920" s="1"/>
      <c r="I920" s="1"/>
    </row>
    <row r="921" spans="1:9" ht="15" hidden="1" customHeight="1">
      <c r="A921" s="1">
        <f>IF($A$919=1,1,0)</f>
        <v>0</v>
      </c>
      <c r="B921" s="1"/>
      <c r="C921" s="611" t="s">
        <v>1059</v>
      </c>
      <c r="D921" s="90"/>
      <c r="E921" s="1"/>
      <c r="F921" s="1"/>
      <c r="G921" s="1"/>
      <c r="H921" s="1"/>
      <c r="I921" s="1"/>
    </row>
    <row r="922" spans="1:9" ht="15" hidden="1" customHeight="1">
      <c r="A922" s="1">
        <f>IF($A$919=1,1,0)</f>
        <v>0</v>
      </c>
      <c r="B922" s="1"/>
      <c r="C922" s="606" t="s">
        <v>38</v>
      </c>
      <c r="D922" s="607" t="s">
        <v>895</v>
      </c>
      <c r="E922" s="607"/>
      <c r="F922" s="118"/>
      <c r="G922" s="607" t="s">
        <v>38</v>
      </c>
      <c r="H922" s="607" t="s">
        <v>895</v>
      </c>
      <c r="I922" s="607"/>
    </row>
    <row r="923" spans="1:9" ht="15" hidden="1" customHeight="1">
      <c r="A923" s="1">
        <f>IF(E923&gt;I923,1,0)</f>
        <v>0</v>
      </c>
      <c r="B923" s="1"/>
      <c r="C923" s="218">
        <v>4040</v>
      </c>
      <c r="D923" s="1" t="s">
        <v>1060</v>
      </c>
      <c r="E923" s="612">
        <f>IFERROR(('eoy24'!E1039+'eoy24'!F1039)/'eoy24'!I1039,0)</f>
        <v>0.79000027247213978</v>
      </c>
      <c r="F923" s="1"/>
      <c r="G923" s="608">
        <v>4040</v>
      </c>
      <c r="H923" s="1" t="s">
        <v>1061</v>
      </c>
      <c r="I923" s="612">
        <f>IFERROR(('eoy24'!J1039+'eoy24'!K1039)/'eoy24'!M1039,0)</f>
        <v>0.79047619047619044</v>
      </c>
    </row>
    <row r="924" spans="1:9" ht="15" hidden="1" customHeight="1">
      <c r="A924" s="1">
        <f>IF($A$919=1,1,0)</f>
        <v>0</v>
      </c>
      <c r="B924" s="1"/>
      <c r="C924" s="41"/>
      <c r="D924" s="1"/>
      <c r="E924" s="1"/>
      <c r="F924" s="1"/>
      <c r="G924" s="609"/>
      <c r="H924" s="1"/>
      <c r="I924" s="1"/>
    </row>
    <row r="925" spans="1:9" ht="15" hidden="1" customHeight="1">
      <c r="A925" s="557">
        <f ca="1">IF(OR($A$928=1,$A$929=1),1,0)</f>
        <v>0</v>
      </c>
      <c r="B925" s="556" t="s">
        <v>1062</v>
      </c>
      <c r="C925" s="557"/>
      <c r="D925" s="557"/>
      <c r="E925" s="557"/>
      <c r="F925" s="557"/>
      <c r="G925" s="557"/>
      <c r="H925" s="557"/>
      <c r="I925" s="557"/>
    </row>
    <row r="926" spans="1:9" ht="15" hidden="1" customHeight="1">
      <c r="A926" s="1">
        <f ca="1">IF($A$925=1,1,0)</f>
        <v>0</v>
      </c>
      <c r="B926" s="1"/>
      <c r="C926" s="41"/>
      <c r="D926" s="1"/>
      <c r="E926" s="1"/>
      <c r="F926" s="1"/>
      <c r="G926" s="1"/>
      <c r="H926" s="1"/>
      <c r="I926" s="1"/>
    </row>
    <row r="927" spans="1:9" ht="15" hidden="1" customHeight="1">
      <c r="A927" s="1">
        <f ca="1">IF($A$925=1,1,0)</f>
        <v>0</v>
      </c>
      <c r="B927" s="1"/>
      <c r="C927" s="606" t="s">
        <v>38</v>
      </c>
      <c r="D927" s="607" t="s">
        <v>895</v>
      </c>
      <c r="E927" s="607" t="s">
        <v>864</v>
      </c>
      <c r="F927" s="118"/>
      <c r="G927" s="606"/>
      <c r="H927" s="607"/>
      <c r="I927" s="607"/>
    </row>
    <row r="928" spans="1:9" ht="15" hidden="1" customHeight="1">
      <c r="A928" s="1">
        <f ca="1">IF(E928&gt;0,1,0)</f>
        <v>0</v>
      </c>
      <c r="B928" s="1"/>
      <c r="C928" s="218">
        <v>1850</v>
      </c>
      <c r="D928" s="1" t="s">
        <v>1063</v>
      </c>
      <c r="E928" s="1">
        <f ca="1">'eoy24'!H473</f>
        <v>0</v>
      </c>
      <c r="F928" s="1"/>
      <c r="G928" s="1"/>
      <c r="H928" s="1"/>
      <c r="I928" s="1"/>
    </row>
    <row r="929" spans="1:9" ht="15" hidden="1" customHeight="1">
      <c r="A929" s="1">
        <f>IF(E929&gt;0,1,0)</f>
        <v>0</v>
      </c>
      <c r="B929" s="1"/>
      <c r="C929" s="218">
        <v>2290</v>
      </c>
      <c r="D929" s="1" t="s">
        <v>1064</v>
      </c>
      <c r="E929" s="1">
        <f>'eoy24'!H538</f>
        <v>0</v>
      </c>
      <c r="F929" s="1"/>
      <c r="G929" s="1"/>
      <c r="H929" s="1"/>
      <c r="I929" s="1"/>
    </row>
    <row r="930" spans="1:9" ht="15" hidden="1" customHeight="1">
      <c r="A930" s="1">
        <f ca="1">IF($A$925=1,1,0)</f>
        <v>0</v>
      </c>
      <c r="B930" s="1"/>
      <c r="C930" s="41"/>
      <c r="D930" s="1"/>
      <c r="E930" s="1"/>
      <c r="F930" s="1"/>
      <c r="G930" s="1"/>
      <c r="H930" s="1"/>
      <c r="I930" s="1"/>
    </row>
  </sheetData>
  <sheetProtection algorithmName="SHA-512" hashValue="XajbHmYVXyUfjQ2rvYbaao6yVTHvwP0vngFmX3Gc0vCMgYLz8SdnOE7n0tDlIPq5vKfkOGFV96mn8cyrPTugaw==" saltValue="9jh8iJTWVS/5f4uQ8IrbpA==" spinCount="100000" sheet="1" objects="1" scenarios="1"/>
  <autoFilter ref="A14:A930" xr:uid="{00000000-0009-0000-0000-000003000000}">
    <filterColumn colId="0">
      <filters>
        <filter val="1"/>
      </filters>
    </filterColumn>
  </autoFilter>
  <customSheetViews>
    <customSheetView guid="{EBCA391C-5ACD-495F-8ED1-C69B7D739622}" scale="85" showGridLines="0" showAutoFilter="1" hiddenRows="1">
      <selection activeCell="C29" sqref="C29"/>
      <pageMargins left="0" right="0" top="0" bottom="0" header="0" footer="0"/>
      <pageSetup scale="80" orientation="landscape" r:id="rId1"/>
      <headerFooter alignWithMargins="0"/>
      <autoFilter ref="B1" xr:uid="{24C1D78B-1615-46D0-BB11-B553DCEFCB38}"/>
    </customSheetView>
  </customSheetViews>
  <phoneticPr fontId="0" type="noConversion"/>
  <hyperlinks>
    <hyperlink ref="C857" r:id="rId2" xr:uid="{00000000-0004-0000-0300-000000000000}"/>
  </hyperlinks>
  <pageMargins left="0.27" right="0.35" top="0.5" bottom="0.5" header="0.5" footer="0.5"/>
  <pageSetup scale="80" orientation="landscape" r:id="rId3"/>
  <headerFooter alignWithMargins="0"/>
  <ignoredErrors>
    <ignoredError sqref="A815" formula="1"/>
  </ignoredErrors>
  <drawing r:id="rId4"/>
  <legacyDrawing r:id="rId5"/>
  <mc:AlternateContent xmlns:mc="http://schemas.openxmlformats.org/markup-compatibility/2006">
    <mc:Choice Requires="x14">
      <controls>
        <mc:AlternateContent xmlns:mc="http://schemas.openxmlformats.org/markup-compatibility/2006">
          <mc:Choice Requires="x14">
            <control shapeId="3073" r:id="rId6" name="Button 1">
              <controlPr defaultSize="0" print="0" autoFill="0" autoPict="0" macro="[0]!validity">
                <anchor moveWithCells="1" sizeWithCells="1">
                  <from>
                    <xdr:col>4</xdr:col>
                    <xdr:colOff>2697480</xdr:colOff>
                    <xdr:row>11</xdr:row>
                    <xdr:rowOff>1287780</xdr:rowOff>
                  </from>
                  <to>
                    <xdr:col>6</xdr:col>
                    <xdr:colOff>0</xdr:colOff>
                    <xdr:row>13</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theme="6"/>
  </sheetPr>
  <dimension ref="A5:AF170"/>
  <sheetViews>
    <sheetView workbookViewId="0">
      <pane xSplit="2" ySplit="13" topLeftCell="C58" activePane="bottomRight" state="frozen"/>
      <selection pane="bottomRight" activeCell="G75" sqref="G75"/>
      <selection pane="bottomLeft" activeCell="A14" sqref="A14"/>
      <selection pane="topRight" activeCell="C1" sqref="C1"/>
    </sheetView>
  </sheetViews>
  <sheetFormatPr defaultColWidth="8.77734375" defaultRowHeight="12.75" customHeight="1"/>
  <cols>
    <col min="1" max="1" width="6.109375" style="73" customWidth="1"/>
    <col min="2" max="2" width="48.6640625" style="73" customWidth="1"/>
    <col min="3" max="18" width="10.77734375" style="73" customWidth="1"/>
    <col min="19" max="19" width="11.109375" style="73" customWidth="1"/>
    <col min="20" max="21" width="10.77734375" style="73" customWidth="1"/>
    <col min="22" max="22" width="11.77734375" style="73" customWidth="1"/>
    <col min="23" max="23" width="9.21875" style="73" customWidth="1"/>
    <col min="24" max="24" width="9.6640625" style="73" customWidth="1"/>
    <col min="25" max="25" width="9.21875" style="73" customWidth="1"/>
    <col min="26" max="26" width="7.77734375" style="73" customWidth="1"/>
    <col min="27" max="27" width="8.21875" style="73" customWidth="1"/>
    <col min="28" max="28" width="11.77734375" style="73" customWidth="1"/>
    <col min="29" max="29" width="11.109375" style="73" customWidth="1"/>
    <col min="30" max="30" width="12.109375" style="73" customWidth="1"/>
    <col min="31" max="16384" width="8.77734375" style="73"/>
  </cols>
  <sheetData>
    <row r="5" spans="1:32" ht="12.75" customHeight="1">
      <c r="A5" s="29"/>
      <c r="B5" s="30"/>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1"/>
      <c r="AC5" s="30"/>
      <c r="AD5" s="30"/>
      <c r="AE5" s="30"/>
      <c r="AF5" s="30"/>
    </row>
    <row r="6" spans="1:32" ht="12.75" customHeight="1">
      <c r="A6" s="29"/>
      <c r="B6" s="115"/>
      <c r="C6" s="596"/>
      <c r="D6" s="723"/>
      <c r="E6" s="723"/>
      <c r="F6" s="596"/>
      <c r="G6" s="724"/>
      <c r="H6" s="724"/>
      <c r="I6" s="593"/>
      <c r="J6" s="593"/>
      <c r="K6" s="593"/>
      <c r="L6" s="593"/>
      <c r="M6" s="593"/>
      <c r="N6" s="593"/>
      <c r="O6" s="593"/>
      <c r="P6" s="593"/>
      <c r="Q6" s="593"/>
      <c r="R6" s="593"/>
      <c r="S6" s="591"/>
      <c r="T6" s="591"/>
      <c r="U6" s="591"/>
      <c r="V6" s="591"/>
      <c r="W6" s="591"/>
      <c r="X6" s="591"/>
      <c r="Y6" s="591"/>
      <c r="Z6" s="591"/>
      <c r="AA6" s="591"/>
      <c r="AB6" s="591"/>
      <c r="AC6" s="30"/>
      <c r="AD6" s="30"/>
      <c r="AE6" s="30"/>
      <c r="AF6" s="30"/>
    </row>
    <row r="7" spans="1:32" ht="12.75" customHeight="1">
      <c r="A7" s="30"/>
      <c r="B7" s="139"/>
      <c r="C7" s="139"/>
      <c r="D7" s="139"/>
      <c r="E7" s="139"/>
      <c r="F7" s="139"/>
      <c r="G7" s="139"/>
      <c r="H7" s="139"/>
      <c r="I7" s="139"/>
      <c r="J7" s="30"/>
      <c r="K7" s="30"/>
      <c r="L7" s="527"/>
      <c r="M7" s="527"/>
      <c r="N7" s="527"/>
      <c r="O7" s="527"/>
      <c r="P7" s="527"/>
      <c r="Q7" s="527"/>
      <c r="R7" s="527"/>
      <c r="S7" s="527"/>
      <c r="T7" s="527"/>
      <c r="U7" s="527"/>
      <c r="V7" s="30"/>
      <c r="W7" s="30"/>
      <c r="X7" s="30"/>
      <c r="Y7" s="30"/>
      <c r="Z7" s="30"/>
      <c r="AA7" s="30"/>
      <c r="AB7" s="30"/>
      <c r="AC7" s="30"/>
      <c r="AD7" s="30"/>
      <c r="AE7" s="30"/>
      <c r="AF7" s="30"/>
    </row>
    <row r="8" spans="1:32" ht="12.75" customHeight="1">
      <c r="A8" s="29" t="s">
        <v>1065</v>
      </c>
      <c r="B8" s="30"/>
      <c r="C8" s="513">
        <v>1</v>
      </c>
      <c r="D8" s="513">
        <v>2</v>
      </c>
      <c r="E8" s="513">
        <v>3</v>
      </c>
      <c r="F8" s="513">
        <v>4</v>
      </c>
      <c r="G8" s="513">
        <v>5</v>
      </c>
      <c r="H8" s="513">
        <v>6</v>
      </c>
      <c r="I8" s="513">
        <v>7</v>
      </c>
      <c r="J8" s="513">
        <v>8</v>
      </c>
      <c r="K8" s="513">
        <v>9</v>
      </c>
      <c r="L8" s="513">
        <v>10</v>
      </c>
      <c r="M8" s="513">
        <v>11</v>
      </c>
      <c r="N8" s="513">
        <v>12</v>
      </c>
      <c r="O8" s="513">
        <v>13</v>
      </c>
      <c r="P8" s="513">
        <v>14</v>
      </c>
      <c r="Q8" s="513">
        <v>15</v>
      </c>
      <c r="R8" s="513">
        <v>16</v>
      </c>
      <c r="S8" s="707">
        <v>17</v>
      </c>
      <c r="T8" s="707">
        <v>18</v>
      </c>
      <c r="U8" s="513">
        <v>19</v>
      </c>
      <c r="V8" s="513">
        <v>20</v>
      </c>
      <c r="W8" s="513">
        <v>21</v>
      </c>
      <c r="X8" s="513">
        <v>22</v>
      </c>
      <c r="Y8" s="513">
        <v>23</v>
      </c>
      <c r="Z8" s="513">
        <v>24</v>
      </c>
      <c r="AA8" s="513">
        <v>25</v>
      </c>
      <c r="AB8" s="513">
        <v>26</v>
      </c>
      <c r="AC8" s="30"/>
      <c r="AD8" s="30"/>
      <c r="AE8" s="30"/>
      <c r="AF8" s="30"/>
    </row>
    <row r="9" spans="1:32" s="143" customFormat="1" ht="12.75" customHeight="1">
      <c r="A9" s="29" t="s">
        <v>1066</v>
      </c>
      <c r="B9" s="30"/>
      <c r="C9" s="532"/>
      <c r="D9" s="532"/>
      <c r="E9" s="532"/>
      <c r="F9" s="533"/>
      <c r="G9" s="532"/>
      <c r="H9" s="532"/>
      <c r="I9" s="532"/>
      <c r="J9" s="725" t="s">
        <v>1067</v>
      </c>
      <c r="K9" s="726"/>
      <c r="L9" s="726"/>
      <c r="M9" s="726"/>
      <c r="N9" s="726"/>
      <c r="O9" s="726"/>
      <c r="P9" s="726"/>
      <c r="Q9" s="726"/>
      <c r="R9" s="726"/>
      <c r="S9" s="726"/>
      <c r="T9" s="727"/>
      <c r="U9" s="725" t="s">
        <v>1068</v>
      </c>
      <c r="V9" s="726"/>
      <c r="W9" s="727"/>
      <c r="X9" s="720" t="s">
        <v>1069</v>
      </c>
      <c r="Y9" s="721"/>
      <c r="Z9" s="721"/>
      <c r="AA9" s="722"/>
      <c r="AB9" s="534"/>
      <c r="AD9" s="144"/>
      <c r="AE9" s="144"/>
      <c r="AF9" s="144"/>
    </row>
    <row r="10" spans="1:32" s="143" customFormat="1" ht="12.75" customHeight="1">
      <c r="A10" s="30"/>
      <c r="B10" s="30"/>
      <c r="C10" s="535"/>
      <c r="D10" s="535"/>
      <c r="E10" s="597"/>
      <c r="F10" s="662" t="s">
        <v>1070</v>
      </c>
      <c r="G10" s="535"/>
      <c r="H10" s="530"/>
      <c r="I10" s="530"/>
      <c r="J10" s="537"/>
      <c r="K10" s="538"/>
      <c r="L10" s="538"/>
      <c r="M10" s="538"/>
      <c r="N10" s="538"/>
      <c r="O10" s="529"/>
      <c r="P10" s="529"/>
      <c r="Q10" s="530" t="s">
        <v>58</v>
      </c>
      <c r="R10" s="530" t="s">
        <v>212</v>
      </c>
      <c r="S10" s="530"/>
      <c r="T10" s="538"/>
      <c r="U10" s="530"/>
      <c r="V10" s="530" t="s">
        <v>212</v>
      </c>
      <c r="W10" s="530"/>
      <c r="X10" s="530"/>
      <c r="Y10" s="530"/>
      <c r="Z10" s="530" t="s">
        <v>224</v>
      </c>
      <c r="AA10" s="530"/>
      <c r="AB10" s="530" t="s">
        <v>133</v>
      </c>
      <c r="AD10" s="144"/>
      <c r="AE10" s="144"/>
      <c r="AF10" s="144"/>
    </row>
    <row r="11" spans="1:32" s="143" customFormat="1" ht="12.75" customHeight="1">
      <c r="A11" s="30"/>
      <c r="B11" s="120"/>
      <c r="C11" s="530"/>
      <c r="D11" s="530"/>
      <c r="E11" s="589" t="s">
        <v>1071</v>
      </c>
      <c r="F11" s="663" t="s">
        <v>1072</v>
      </c>
      <c r="G11" s="530"/>
      <c r="H11" s="530" t="s">
        <v>133</v>
      </c>
      <c r="I11" s="530"/>
      <c r="J11" s="530"/>
      <c r="K11" s="530"/>
      <c r="L11" s="530"/>
      <c r="M11" s="530"/>
      <c r="N11" s="530"/>
      <c r="O11" s="530" t="s">
        <v>1073</v>
      </c>
      <c r="P11" s="530"/>
      <c r="Q11" s="530" t="s">
        <v>212</v>
      </c>
      <c r="R11" s="530" t="s">
        <v>1074</v>
      </c>
      <c r="S11" s="530"/>
      <c r="T11" s="530"/>
      <c r="U11" s="530" t="s">
        <v>212</v>
      </c>
      <c r="V11" s="530" t="s">
        <v>1074</v>
      </c>
      <c r="W11" s="530" t="s">
        <v>58</v>
      </c>
      <c r="X11" s="530"/>
      <c r="Y11" s="530"/>
      <c r="Z11" s="530" t="s">
        <v>1075</v>
      </c>
      <c r="AA11" s="530" t="s">
        <v>58</v>
      </c>
      <c r="AB11" s="530" t="s">
        <v>1076</v>
      </c>
      <c r="AD11" s="144"/>
      <c r="AE11" s="144"/>
      <c r="AF11" s="144"/>
    </row>
    <row r="12" spans="1:32" s="143" customFormat="1" ht="12.75" customHeight="1">
      <c r="A12" s="30"/>
      <c r="B12" s="120"/>
      <c r="C12" s="530" t="s">
        <v>1077</v>
      </c>
      <c r="D12" s="539" t="s">
        <v>1078</v>
      </c>
      <c r="E12" s="589" t="s">
        <v>1079</v>
      </c>
      <c r="F12" s="540" t="s">
        <v>58</v>
      </c>
      <c r="G12" s="530"/>
      <c r="H12" s="530" t="s">
        <v>224</v>
      </c>
      <c r="I12" s="541" t="s">
        <v>1080</v>
      </c>
      <c r="J12" s="530" t="s">
        <v>217</v>
      </c>
      <c r="K12" s="530" t="s">
        <v>218</v>
      </c>
      <c r="L12" s="530" t="s">
        <v>1081</v>
      </c>
      <c r="M12" s="530" t="s">
        <v>1082</v>
      </c>
      <c r="N12" s="530" t="s">
        <v>1083</v>
      </c>
      <c r="O12" s="530" t="s">
        <v>1084</v>
      </c>
      <c r="P12" s="530"/>
      <c r="Q12" s="530" t="s">
        <v>1074</v>
      </c>
      <c r="R12" s="530" t="s">
        <v>1085</v>
      </c>
      <c r="S12" s="530" t="s">
        <v>58</v>
      </c>
      <c r="T12" s="530"/>
      <c r="U12" s="530" t="s">
        <v>1074</v>
      </c>
      <c r="V12" s="530" t="s">
        <v>1086</v>
      </c>
      <c r="W12" s="530" t="s">
        <v>1086</v>
      </c>
      <c r="X12" s="530" t="s">
        <v>220</v>
      </c>
      <c r="Y12" s="530" t="s">
        <v>313</v>
      </c>
      <c r="Z12" s="530" t="s">
        <v>58</v>
      </c>
      <c r="AA12" s="530" t="s">
        <v>225</v>
      </c>
      <c r="AB12" s="530" t="s">
        <v>1087</v>
      </c>
    </row>
    <row r="13" spans="1:32" ht="12.75" customHeight="1">
      <c r="A13" s="30"/>
      <c r="B13" s="30"/>
      <c r="C13" s="531" t="s">
        <v>1088</v>
      </c>
      <c r="D13" s="531" t="s">
        <v>1089</v>
      </c>
      <c r="E13" s="590" t="s">
        <v>1090</v>
      </c>
      <c r="F13" s="543" t="s">
        <v>315</v>
      </c>
      <c r="G13" s="531" t="s">
        <v>1091</v>
      </c>
      <c r="H13" s="531" t="s">
        <v>573</v>
      </c>
      <c r="I13" s="531" t="s">
        <v>1092</v>
      </c>
      <c r="J13" s="531" t="s">
        <v>1093</v>
      </c>
      <c r="K13" s="531" t="s">
        <v>228</v>
      </c>
      <c r="L13" s="531" t="s">
        <v>1094</v>
      </c>
      <c r="M13" s="531" t="s">
        <v>1095</v>
      </c>
      <c r="N13" s="531" t="s">
        <v>1096</v>
      </c>
      <c r="O13" s="531" t="s">
        <v>1097</v>
      </c>
      <c r="P13" s="531" t="s">
        <v>1098</v>
      </c>
      <c r="Q13" s="531" t="s">
        <v>1085</v>
      </c>
      <c r="R13" s="531" t="s">
        <v>1070</v>
      </c>
      <c r="S13" s="531" t="s">
        <v>1085</v>
      </c>
      <c r="T13" s="531" t="s">
        <v>1099</v>
      </c>
      <c r="U13" s="531" t="s">
        <v>1086</v>
      </c>
      <c r="V13" s="531" t="s">
        <v>1070</v>
      </c>
      <c r="W13" s="531" t="s">
        <v>1100</v>
      </c>
      <c r="X13" s="531" t="s">
        <v>230</v>
      </c>
      <c r="Y13" s="531" t="s">
        <v>1100</v>
      </c>
      <c r="Z13" s="531" t="s">
        <v>232</v>
      </c>
      <c r="AA13" s="531" t="s">
        <v>235</v>
      </c>
      <c r="AB13" s="531" t="s">
        <v>1101</v>
      </c>
      <c r="AC13" s="30"/>
      <c r="AD13" s="30"/>
      <c r="AE13" s="30"/>
      <c r="AF13" s="30"/>
    </row>
    <row r="14" spans="1:32" ht="12.75" customHeight="1">
      <c r="A14" s="120" t="s">
        <v>38</v>
      </c>
      <c r="B14" s="120" t="s">
        <v>99</v>
      </c>
      <c r="C14" s="30"/>
      <c r="D14" s="30"/>
      <c r="E14" s="30"/>
      <c r="F14" s="30"/>
      <c r="G14" s="30"/>
      <c r="H14" s="30"/>
      <c r="I14" s="145"/>
      <c r="J14" s="145"/>
      <c r="K14" s="145"/>
      <c r="L14" s="145"/>
      <c r="M14" s="145"/>
      <c r="N14" s="145"/>
      <c r="O14" s="145"/>
      <c r="P14" s="145"/>
      <c r="Q14" s="145"/>
      <c r="R14" s="145"/>
      <c r="S14" s="145"/>
      <c r="T14" s="145"/>
      <c r="U14" s="145"/>
      <c r="V14" s="145"/>
      <c r="W14" s="145"/>
      <c r="X14" s="145"/>
      <c r="Y14" s="145"/>
      <c r="Z14" s="145"/>
      <c r="AA14" s="145"/>
      <c r="AB14" s="145"/>
      <c r="AC14" s="30"/>
      <c r="AD14" s="30"/>
      <c r="AE14" s="30"/>
      <c r="AF14" s="30"/>
    </row>
    <row r="15" spans="1:32" ht="12.75" customHeight="1">
      <c r="A15" s="31">
        <v>3401</v>
      </c>
      <c r="B15" s="32" t="s">
        <v>91</v>
      </c>
      <c r="C15" s="32">
        <f t="shared" ref="C15:C20" ca="1" si="0">SUMIF(lines,$A15,day)</f>
        <v>121000</v>
      </c>
      <c r="D15" s="32">
        <f t="shared" ref="D15:D20" ca="1" si="1">SUMIF(lines,$A15,special)</f>
        <v>142900</v>
      </c>
      <c r="E15" s="32">
        <f t="shared" ref="E15:E20" ca="1" si="2">SUMIF(lines,$A15,occday)</f>
        <v>0</v>
      </c>
      <c r="F15" s="32">
        <f t="shared" ref="F15:F20" ca="1" si="3">SUMIF(lines,$A15,other)</f>
        <v>0</v>
      </c>
      <c r="G15" s="33"/>
      <c r="H15" s="32">
        <f ca="1">ROUND(SUM(C15:F15),0)</f>
        <v>263900</v>
      </c>
      <c r="I15" s="33"/>
      <c r="J15" s="32">
        <f t="shared" ref="J15:J20" ca="1" si="4">SUMIF(lines,$A15,TitleI)</f>
        <v>0</v>
      </c>
      <c r="K15" s="32">
        <f t="shared" ref="K15:K20" ca="1" si="5">SUMIF(lines,$A15,IDEA)</f>
        <v>0</v>
      </c>
      <c r="L15" s="32">
        <f t="shared" ref="L15:L20" ca="1" si="6">SUMIF(lines,$A15,ESSERI)</f>
        <v>0</v>
      </c>
      <c r="M15" s="32">
        <f t="shared" ref="M15:M20" ca="1" si="7">SUMIF(lines,$A15,ESSERII)</f>
        <v>0</v>
      </c>
      <c r="N15" s="32">
        <f t="shared" ref="N15:N20" ca="1" si="8">SUMIF(lines,$A15,ESSERIII)</f>
        <v>0</v>
      </c>
      <c r="O15" s="32">
        <f t="shared" ref="O15:O20" ca="1" si="9">SUMIF(lines,$A15,ESSERG)</f>
        <v>0</v>
      </c>
      <c r="P15" s="32">
        <f t="shared" ref="P15:P20" ca="1" si="10">SUMIF(lines,$A15,GEER)</f>
        <v>0</v>
      </c>
      <c r="Q15" s="32">
        <f t="shared" ref="Q15:Q20" ca="1" si="11">SUMIF(lines,$A15,doefed)</f>
        <v>0</v>
      </c>
      <c r="R15" s="32">
        <f t="shared" ref="R15:R20" ca="1" si="12">SUMIF(lines,$A15,adultfed)</f>
        <v>0</v>
      </c>
      <c r="S15" s="32">
        <f t="shared" ref="S15:S20" ca="1" si="13">SUMIF(lines,$A15,otherfed)</f>
        <v>0</v>
      </c>
      <c r="T15" s="33"/>
      <c r="U15" s="32">
        <f t="shared" ref="U15:U20" ca="1" si="14">SUMIF(lines,$A15,doestate)</f>
        <v>0</v>
      </c>
      <c r="V15" s="32">
        <f t="shared" ref="V15:V20" ca="1" si="15">SUMIF(lines,$A15,adultstate)</f>
        <v>0</v>
      </c>
      <c r="W15" s="32">
        <f t="shared" ref="W15:W20" ca="1" si="16">SUMIF(lines,$A15,otherstate)</f>
        <v>0</v>
      </c>
      <c r="X15" s="32">
        <f t="shared" ref="X15:X20" ca="1" si="17">SUMIF(lines,$A15,circuitbreaker)</f>
        <v>0</v>
      </c>
      <c r="Y15" s="32">
        <f t="shared" ref="Y15:Y20" ca="1" si="18">SUMIF(lines,$A15,private)</f>
        <v>0</v>
      </c>
      <c r="Z15" s="32">
        <f t="shared" ref="Z15:Z20" ca="1" si="19">SUMIF(lines,$A15,schchoice)</f>
        <v>0</v>
      </c>
      <c r="AA15" s="32">
        <f t="shared" ref="AA15:AA20" ca="1" si="20">SUMIF(lines,$A15,otherreceipts)</f>
        <v>0</v>
      </c>
      <c r="AB15" s="32">
        <f t="shared" ref="AB15:AB21" ca="1" si="21">ROUND(SUM(H15:AA15),0)</f>
        <v>263900</v>
      </c>
      <c r="AC15" s="30"/>
      <c r="AD15" s="30"/>
      <c r="AE15" s="30"/>
      <c r="AF15" s="30"/>
    </row>
    <row r="16" spans="1:32" ht="12.75" customHeight="1">
      <c r="A16" s="31">
        <v>3402</v>
      </c>
      <c r="B16" s="32" t="s">
        <v>84</v>
      </c>
      <c r="C16" s="32">
        <f t="shared" ca="1" si="0"/>
        <v>0</v>
      </c>
      <c r="D16" s="32">
        <f t="shared" ca="1" si="1"/>
        <v>57351</v>
      </c>
      <c r="E16" s="32">
        <f t="shared" ca="1" si="2"/>
        <v>0</v>
      </c>
      <c r="F16" s="32">
        <f t="shared" ca="1" si="3"/>
        <v>0</v>
      </c>
      <c r="G16" s="33"/>
      <c r="H16" s="32">
        <f t="shared" ref="H16:H21" ca="1" si="22">ROUND(SUM(C16:F16),0)</f>
        <v>57351</v>
      </c>
      <c r="I16" s="33"/>
      <c r="J16" s="32">
        <f t="shared" ca="1" si="4"/>
        <v>0</v>
      </c>
      <c r="K16" s="32">
        <f t="shared" ca="1" si="5"/>
        <v>0</v>
      </c>
      <c r="L16" s="32">
        <f t="shared" ca="1" si="6"/>
        <v>0</v>
      </c>
      <c r="M16" s="32">
        <f t="shared" ca="1" si="7"/>
        <v>0</v>
      </c>
      <c r="N16" s="32">
        <f t="shared" ca="1" si="8"/>
        <v>0</v>
      </c>
      <c r="O16" s="32">
        <f t="shared" ca="1" si="9"/>
        <v>0</v>
      </c>
      <c r="P16" s="32">
        <f t="shared" ca="1" si="10"/>
        <v>0</v>
      </c>
      <c r="Q16" s="32">
        <f t="shared" ca="1" si="11"/>
        <v>0</v>
      </c>
      <c r="R16" s="32">
        <f t="shared" ca="1" si="12"/>
        <v>0</v>
      </c>
      <c r="S16" s="32">
        <f t="shared" ca="1" si="13"/>
        <v>0</v>
      </c>
      <c r="T16" s="33"/>
      <c r="U16" s="32">
        <f t="shared" ca="1" si="14"/>
        <v>0</v>
      </c>
      <c r="V16" s="32">
        <f t="shared" ca="1" si="15"/>
        <v>0</v>
      </c>
      <c r="W16" s="32">
        <f t="shared" ca="1" si="16"/>
        <v>0</v>
      </c>
      <c r="X16" s="32">
        <f t="shared" ca="1" si="17"/>
        <v>0</v>
      </c>
      <c r="Y16" s="32">
        <f t="shared" ca="1" si="18"/>
        <v>0</v>
      </c>
      <c r="Z16" s="32">
        <f t="shared" ca="1" si="19"/>
        <v>0</v>
      </c>
      <c r="AA16" s="32">
        <f t="shared" ca="1" si="20"/>
        <v>0</v>
      </c>
      <c r="AB16" s="32">
        <f t="shared" ca="1" si="21"/>
        <v>57351</v>
      </c>
      <c r="AC16" s="30"/>
      <c r="AD16" s="30"/>
      <c r="AE16" s="30"/>
      <c r="AF16" s="30"/>
    </row>
    <row r="17" spans="1:28" ht="12.75" customHeight="1">
      <c r="A17" s="31">
        <v>3403</v>
      </c>
      <c r="B17" s="32" t="s">
        <v>85</v>
      </c>
      <c r="C17" s="32">
        <f t="shared" ca="1" si="0"/>
        <v>0</v>
      </c>
      <c r="D17" s="32">
        <f t="shared" ca="1" si="1"/>
        <v>0</v>
      </c>
      <c r="E17" s="32">
        <f t="shared" ca="1" si="2"/>
        <v>0</v>
      </c>
      <c r="F17" s="32">
        <f t="shared" ca="1" si="3"/>
        <v>0</v>
      </c>
      <c r="G17" s="33"/>
      <c r="H17" s="32">
        <f t="shared" ca="1" si="22"/>
        <v>0</v>
      </c>
      <c r="I17" s="33"/>
      <c r="J17" s="32">
        <f t="shared" ca="1" si="4"/>
        <v>0</v>
      </c>
      <c r="K17" s="32">
        <f t="shared" ca="1" si="5"/>
        <v>0</v>
      </c>
      <c r="L17" s="32">
        <f t="shared" ca="1" si="6"/>
        <v>0</v>
      </c>
      <c r="M17" s="32">
        <f t="shared" ca="1" si="7"/>
        <v>0</v>
      </c>
      <c r="N17" s="32">
        <f t="shared" ca="1" si="8"/>
        <v>0</v>
      </c>
      <c r="O17" s="32">
        <f t="shared" ca="1" si="9"/>
        <v>0</v>
      </c>
      <c r="P17" s="32">
        <f t="shared" ca="1" si="10"/>
        <v>0</v>
      </c>
      <c r="Q17" s="32">
        <f t="shared" ca="1" si="11"/>
        <v>0</v>
      </c>
      <c r="R17" s="32">
        <f t="shared" ca="1" si="12"/>
        <v>0</v>
      </c>
      <c r="S17" s="32">
        <f t="shared" ca="1" si="13"/>
        <v>0</v>
      </c>
      <c r="T17" s="33"/>
      <c r="U17" s="32">
        <f t="shared" ca="1" si="14"/>
        <v>0</v>
      </c>
      <c r="V17" s="32">
        <f t="shared" ca="1" si="15"/>
        <v>0</v>
      </c>
      <c r="W17" s="32">
        <f t="shared" ca="1" si="16"/>
        <v>0</v>
      </c>
      <c r="X17" s="32">
        <f t="shared" ca="1" si="17"/>
        <v>0</v>
      </c>
      <c r="Y17" s="32">
        <f t="shared" ca="1" si="18"/>
        <v>0</v>
      </c>
      <c r="Z17" s="32">
        <f t="shared" ca="1" si="19"/>
        <v>0</v>
      </c>
      <c r="AA17" s="32">
        <f t="shared" ca="1" si="20"/>
        <v>0</v>
      </c>
      <c r="AB17" s="32">
        <f t="shared" ca="1" si="21"/>
        <v>0</v>
      </c>
    </row>
    <row r="18" spans="1:28" ht="12.75" customHeight="1">
      <c r="A18" s="31">
        <v>3404</v>
      </c>
      <c r="B18" s="32" t="s">
        <v>86</v>
      </c>
      <c r="C18" s="32">
        <f t="shared" ca="1" si="0"/>
        <v>0</v>
      </c>
      <c r="D18" s="32">
        <f t="shared" ca="1" si="1"/>
        <v>29483</v>
      </c>
      <c r="E18" s="32">
        <f t="shared" ca="1" si="2"/>
        <v>0</v>
      </c>
      <c r="F18" s="32">
        <f t="shared" ca="1" si="3"/>
        <v>0</v>
      </c>
      <c r="G18" s="33"/>
      <c r="H18" s="32">
        <f t="shared" ca="1" si="22"/>
        <v>29483</v>
      </c>
      <c r="I18" s="33"/>
      <c r="J18" s="32">
        <f t="shared" ca="1" si="4"/>
        <v>0</v>
      </c>
      <c r="K18" s="32">
        <f t="shared" ca="1" si="5"/>
        <v>0</v>
      </c>
      <c r="L18" s="32">
        <f t="shared" ca="1" si="6"/>
        <v>0</v>
      </c>
      <c r="M18" s="32">
        <f t="shared" ca="1" si="7"/>
        <v>0</v>
      </c>
      <c r="N18" s="32">
        <f t="shared" ca="1" si="8"/>
        <v>0</v>
      </c>
      <c r="O18" s="32">
        <f t="shared" ca="1" si="9"/>
        <v>0</v>
      </c>
      <c r="P18" s="32">
        <f t="shared" ca="1" si="10"/>
        <v>0</v>
      </c>
      <c r="Q18" s="32">
        <f t="shared" ca="1" si="11"/>
        <v>0</v>
      </c>
      <c r="R18" s="32">
        <f t="shared" ca="1" si="12"/>
        <v>0</v>
      </c>
      <c r="S18" s="32">
        <f t="shared" ca="1" si="13"/>
        <v>0</v>
      </c>
      <c r="T18" s="33"/>
      <c r="U18" s="32">
        <f t="shared" ca="1" si="14"/>
        <v>0</v>
      </c>
      <c r="V18" s="32">
        <f t="shared" ca="1" si="15"/>
        <v>0</v>
      </c>
      <c r="W18" s="32">
        <f t="shared" ca="1" si="16"/>
        <v>0</v>
      </c>
      <c r="X18" s="32">
        <f t="shared" ca="1" si="17"/>
        <v>0</v>
      </c>
      <c r="Y18" s="32">
        <f t="shared" ca="1" si="18"/>
        <v>0</v>
      </c>
      <c r="Z18" s="32">
        <f t="shared" ca="1" si="19"/>
        <v>0</v>
      </c>
      <c r="AA18" s="32">
        <f t="shared" ca="1" si="20"/>
        <v>0</v>
      </c>
      <c r="AB18" s="32">
        <f t="shared" ca="1" si="21"/>
        <v>29483</v>
      </c>
    </row>
    <row r="19" spans="1:28" ht="12.75" customHeight="1">
      <c r="A19" s="31">
        <v>3405</v>
      </c>
      <c r="B19" s="32" t="s">
        <v>87</v>
      </c>
      <c r="C19" s="32">
        <f t="shared" ca="1" si="0"/>
        <v>32287</v>
      </c>
      <c r="D19" s="32">
        <f t="shared" ca="1" si="1"/>
        <v>25612.17</v>
      </c>
      <c r="E19" s="32">
        <f t="shared" ca="1" si="2"/>
        <v>0</v>
      </c>
      <c r="F19" s="32">
        <f t="shared" ca="1" si="3"/>
        <v>0</v>
      </c>
      <c r="G19" s="33"/>
      <c r="H19" s="32">
        <f t="shared" ca="1" si="22"/>
        <v>57899</v>
      </c>
      <c r="I19" s="33"/>
      <c r="J19" s="32">
        <f t="shared" ca="1" si="4"/>
        <v>0</v>
      </c>
      <c r="K19" s="32">
        <f t="shared" ca="1" si="5"/>
        <v>0</v>
      </c>
      <c r="L19" s="32">
        <f t="shared" ca="1" si="6"/>
        <v>0</v>
      </c>
      <c r="M19" s="32">
        <f t="shared" ca="1" si="7"/>
        <v>0</v>
      </c>
      <c r="N19" s="32">
        <f t="shared" ca="1" si="8"/>
        <v>0</v>
      </c>
      <c r="O19" s="32">
        <f t="shared" ca="1" si="9"/>
        <v>0</v>
      </c>
      <c r="P19" s="32">
        <f t="shared" ca="1" si="10"/>
        <v>0</v>
      </c>
      <c r="Q19" s="32">
        <f t="shared" ca="1" si="11"/>
        <v>0</v>
      </c>
      <c r="R19" s="32">
        <f t="shared" ca="1" si="12"/>
        <v>0</v>
      </c>
      <c r="S19" s="32">
        <f t="shared" ca="1" si="13"/>
        <v>0</v>
      </c>
      <c r="T19" s="33"/>
      <c r="U19" s="32">
        <f t="shared" ca="1" si="14"/>
        <v>0</v>
      </c>
      <c r="V19" s="32">
        <f t="shared" ca="1" si="15"/>
        <v>0</v>
      </c>
      <c r="W19" s="32">
        <f t="shared" ca="1" si="16"/>
        <v>0</v>
      </c>
      <c r="X19" s="32">
        <f t="shared" ca="1" si="17"/>
        <v>0</v>
      </c>
      <c r="Y19" s="32">
        <f t="shared" ca="1" si="18"/>
        <v>0</v>
      </c>
      <c r="Z19" s="32">
        <f t="shared" ca="1" si="19"/>
        <v>0</v>
      </c>
      <c r="AA19" s="32">
        <f t="shared" ca="1" si="20"/>
        <v>0</v>
      </c>
      <c r="AB19" s="32">
        <f t="shared" ca="1" si="21"/>
        <v>57899</v>
      </c>
    </row>
    <row r="20" spans="1:28" ht="12.75" customHeight="1">
      <c r="A20" s="31">
        <v>3406</v>
      </c>
      <c r="B20" s="32" t="s">
        <v>88</v>
      </c>
      <c r="C20" s="32">
        <f t="shared" ca="1" si="0"/>
        <v>0</v>
      </c>
      <c r="D20" s="32">
        <f t="shared" ca="1" si="1"/>
        <v>0</v>
      </c>
      <c r="E20" s="32">
        <f t="shared" ca="1" si="2"/>
        <v>0</v>
      </c>
      <c r="F20" s="32">
        <f t="shared" ca="1" si="3"/>
        <v>0</v>
      </c>
      <c r="G20" s="33"/>
      <c r="H20" s="32">
        <f t="shared" ca="1" si="22"/>
        <v>0</v>
      </c>
      <c r="I20" s="33"/>
      <c r="J20" s="32">
        <f t="shared" ca="1" si="4"/>
        <v>0</v>
      </c>
      <c r="K20" s="32">
        <f t="shared" ca="1" si="5"/>
        <v>0</v>
      </c>
      <c r="L20" s="32">
        <f t="shared" ca="1" si="6"/>
        <v>0</v>
      </c>
      <c r="M20" s="32">
        <f t="shared" ca="1" si="7"/>
        <v>0</v>
      </c>
      <c r="N20" s="32">
        <f t="shared" ca="1" si="8"/>
        <v>0</v>
      </c>
      <c r="O20" s="32">
        <f t="shared" ca="1" si="9"/>
        <v>0</v>
      </c>
      <c r="P20" s="32">
        <f t="shared" ca="1" si="10"/>
        <v>0</v>
      </c>
      <c r="Q20" s="32">
        <f t="shared" ca="1" si="11"/>
        <v>0</v>
      </c>
      <c r="R20" s="32">
        <f t="shared" ca="1" si="12"/>
        <v>0</v>
      </c>
      <c r="S20" s="32">
        <f t="shared" ca="1" si="13"/>
        <v>0</v>
      </c>
      <c r="T20" s="33"/>
      <c r="U20" s="32">
        <f t="shared" ca="1" si="14"/>
        <v>0</v>
      </c>
      <c r="V20" s="32">
        <f t="shared" ca="1" si="15"/>
        <v>0</v>
      </c>
      <c r="W20" s="32">
        <f t="shared" ca="1" si="16"/>
        <v>0</v>
      </c>
      <c r="X20" s="32">
        <f t="shared" ca="1" si="17"/>
        <v>0</v>
      </c>
      <c r="Y20" s="32">
        <f t="shared" ca="1" si="18"/>
        <v>0</v>
      </c>
      <c r="Z20" s="32">
        <f t="shared" ca="1" si="19"/>
        <v>0</v>
      </c>
      <c r="AA20" s="32">
        <f t="shared" ca="1" si="20"/>
        <v>0</v>
      </c>
      <c r="AB20" s="32">
        <f t="shared" ca="1" si="21"/>
        <v>0</v>
      </c>
    </row>
    <row r="21" spans="1:28" ht="12.75" customHeight="1">
      <c r="A21" s="31">
        <v>3409</v>
      </c>
      <c r="B21" s="34" t="s">
        <v>89</v>
      </c>
      <c r="C21" s="32">
        <f ca="1">ROUND(SUM(C15:C20),0)</f>
        <v>153287</v>
      </c>
      <c r="D21" s="32">
        <f ca="1">ROUND(SUM(D15:D20),0)</f>
        <v>255346</v>
      </c>
      <c r="E21" s="32">
        <f ca="1">ROUND(SUM(E15:E20),0)</f>
        <v>0</v>
      </c>
      <c r="F21" s="32">
        <f ca="1">ROUND(SUM(F15:F20),0)</f>
        <v>0</v>
      </c>
      <c r="G21" s="33"/>
      <c r="H21" s="32">
        <f t="shared" ca="1" si="22"/>
        <v>408633</v>
      </c>
      <c r="I21" s="33"/>
      <c r="J21" s="32">
        <f t="shared" ref="J21:P21" ca="1" si="23">ROUND(SUM(J15:J20),0)</f>
        <v>0</v>
      </c>
      <c r="K21" s="32">
        <f t="shared" ca="1" si="23"/>
        <v>0</v>
      </c>
      <c r="L21" s="32">
        <f t="shared" ca="1" si="23"/>
        <v>0</v>
      </c>
      <c r="M21" s="32">
        <f t="shared" ca="1" si="23"/>
        <v>0</v>
      </c>
      <c r="N21" s="32">
        <f t="shared" ca="1" si="23"/>
        <v>0</v>
      </c>
      <c r="O21" s="32">
        <f t="shared" ca="1" si="23"/>
        <v>0</v>
      </c>
      <c r="P21" s="32">
        <f t="shared" ca="1" si="23"/>
        <v>0</v>
      </c>
      <c r="Q21" s="32">
        <f t="shared" ref="Q21:AA21" ca="1" si="24">ROUND(SUM(Q15:Q20),0)</f>
        <v>0</v>
      </c>
      <c r="R21" s="32">
        <f t="shared" ca="1" si="24"/>
        <v>0</v>
      </c>
      <c r="S21" s="32">
        <f ca="1">ROUND(SUM(S15:S20),0)</f>
        <v>0</v>
      </c>
      <c r="T21" s="33"/>
      <c r="U21" s="32">
        <f t="shared" ca="1" si="24"/>
        <v>0</v>
      </c>
      <c r="V21" s="32">
        <f t="shared" ca="1" si="24"/>
        <v>0</v>
      </c>
      <c r="W21" s="32">
        <f ca="1">ROUND(SUM(W15:W20),0)</f>
        <v>0</v>
      </c>
      <c r="X21" s="32">
        <f t="shared" ca="1" si="24"/>
        <v>0</v>
      </c>
      <c r="Y21" s="32">
        <f t="shared" ca="1" si="24"/>
        <v>0</v>
      </c>
      <c r="Z21" s="32">
        <f t="shared" ca="1" si="24"/>
        <v>0</v>
      </c>
      <c r="AA21" s="32">
        <f t="shared" ca="1" si="24"/>
        <v>0</v>
      </c>
      <c r="AB21" s="32">
        <f t="shared" ca="1" si="21"/>
        <v>408633</v>
      </c>
    </row>
    <row r="22" spans="1:28" ht="12.75" customHeight="1">
      <c r="A22" s="35"/>
      <c r="B22" s="120" t="s">
        <v>291</v>
      </c>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row>
    <row r="23" spans="1:28" ht="12.75" customHeight="1">
      <c r="A23" s="31">
        <v>3411</v>
      </c>
      <c r="B23" s="32" t="s">
        <v>91</v>
      </c>
      <c r="C23" s="32">
        <f t="shared" ref="C23:C28" ca="1" si="25">SUMIF(lines,$A23,day)</f>
        <v>0</v>
      </c>
      <c r="D23" s="32">
        <f t="shared" ref="D23:D28" ca="1" si="26">SUMIF(lines,$A23,special)</f>
        <v>0</v>
      </c>
      <c r="E23" s="32">
        <f t="shared" ref="E23:E28" ca="1" si="27">SUMIF(lines,$A23,occday)</f>
        <v>0</v>
      </c>
      <c r="F23" s="32">
        <f t="shared" ref="F23:F28" ca="1" si="28">SUMIF(lines,$A23,other)</f>
        <v>0</v>
      </c>
      <c r="G23" s="33"/>
      <c r="H23" s="32">
        <f t="shared" ref="H23:H37" ca="1" si="29">ROUND(SUM(C23:F23),0)</f>
        <v>0</v>
      </c>
      <c r="I23" s="33"/>
      <c r="J23" s="32">
        <f t="shared" ref="J23:J28" ca="1" si="30">SUMIF(lines,$A23,TitleI)</f>
        <v>0</v>
      </c>
      <c r="K23" s="32">
        <f t="shared" ref="K23:K28" ca="1" si="31">SUMIF(lines,$A23,IDEA)</f>
        <v>0</v>
      </c>
      <c r="L23" s="32">
        <f t="shared" ref="L23:L28" ca="1" si="32">SUMIF(lines,$A23,ESSERI)</f>
        <v>0</v>
      </c>
      <c r="M23" s="32">
        <f t="shared" ref="M23:M28" ca="1" si="33">SUMIF(lines,$A23,ESSERII)</f>
        <v>0</v>
      </c>
      <c r="N23" s="32">
        <f t="shared" ref="N23:N28" ca="1" si="34">SUMIF(lines,$A23,ESSERIII)</f>
        <v>0</v>
      </c>
      <c r="O23" s="32">
        <f t="shared" ref="O23:O28" ca="1" si="35">SUMIF(lines,$A23,ESSERG)</f>
        <v>0</v>
      </c>
      <c r="P23" s="32">
        <f t="shared" ref="P23:P28" ca="1" si="36">SUMIF(lines,$A23,GEER)</f>
        <v>0</v>
      </c>
      <c r="Q23" s="32">
        <f t="shared" ref="Q23:Q28" ca="1" si="37">SUMIF(lines,$A23,doefed)</f>
        <v>0</v>
      </c>
      <c r="R23" s="32">
        <f t="shared" ref="R23:R28" ca="1" si="38">SUMIF(lines,$A23,adultfed)</f>
        <v>0</v>
      </c>
      <c r="S23" s="32">
        <f t="shared" ref="S23:S28" ca="1" si="39">SUMIF(lines,$A23,otherfed)</f>
        <v>0</v>
      </c>
      <c r="T23" s="33"/>
      <c r="U23" s="32">
        <f t="shared" ref="U23:U28" ca="1" si="40">SUMIF(lines,$A23,doestate)</f>
        <v>0</v>
      </c>
      <c r="V23" s="32">
        <f t="shared" ref="V23:V28" ca="1" si="41">SUMIF(lines,$A23,adultstate)</f>
        <v>0</v>
      </c>
      <c r="W23" s="32">
        <f t="shared" ref="W23:W28" ca="1" si="42">SUMIF(lines,$A23,otherstate)</f>
        <v>0</v>
      </c>
      <c r="X23" s="32">
        <f t="shared" ref="X23:X28" ca="1" si="43">SUMIF(lines,$A23,circuitbreaker)</f>
        <v>0</v>
      </c>
      <c r="Y23" s="32">
        <f t="shared" ref="Y23:Y28" ca="1" si="44">SUMIF(lines,$A23,private)</f>
        <v>0</v>
      </c>
      <c r="Z23" s="32">
        <f t="shared" ref="Z23:Z28" ca="1" si="45">SUMIF(lines,$A23,schchoice)</f>
        <v>0</v>
      </c>
      <c r="AA23" s="32">
        <f t="shared" ref="AA23:AA28" ca="1" si="46">SUMIF(lines,$A23,otherreceipts)</f>
        <v>0</v>
      </c>
      <c r="AB23" s="32">
        <f t="shared" ref="AB23:AB29" ca="1" si="47">ROUND(SUM(H23:AA23),0)</f>
        <v>0</v>
      </c>
    </row>
    <row r="24" spans="1:28" ht="12.75" customHeight="1">
      <c r="A24" s="31">
        <v>3412</v>
      </c>
      <c r="B24" s="32" t="s">
        <v>84</v>
      </c>
      <c r="C24" s="32">
        <f t="shared" ca="1" si="25"/>
        <v>0</v>
      </c>
      <c r="D24" s="32">
        <f t="shared" ca="1" si="26"/>
        <v>0</v>
      </c>
      <c r="E24" s="32">
        <f t="shared" ca="1" si="27"/>
        <v>0</v>
      </c>
      <c r="F24" s="32">
        <f t="shared" ca="1" si="28"/>
        <v>0</v>
      </c>
      <c r="G24" s="33"/>
      <c r="H24" s="32">
        <f t="shared" ca="1" si="29"/>
        <v>0</v>
      </c>
      <c r="I24" s="33"/>
      <c r="J24" s="32">
        <f t="shared" ca="1" si="30"/>
        <v>0</v>
      </c>
      <c r="K24" s="32">
        <f t="shared" ca="1" si="31"/>
        <v>0</v>
      </c>
      <c r="L24" s="32">
        <f t="shared" ca="1" si="32"/>
        <v>0</v>
      </c>
      <c r="M24" s="32">
        <f t="shared" ca="1" si="33"/>
        <v>0</v>
      </c>
      <c r="N24" s="32">
        <f t="shared" ca="1" si="34"/>
        <v>0</v>
      </c>
      <c r="O24" s="32">
        <f t="shared" ca="1" si="35"/>
        <v>0</v>
      </c>
      <c r="P24" s="32">
        <f t="shared" ca="1" si="36"/>
        <v>0</v>
      </c>
      <c r="Q24" s="32">
        <f t="shared" ca="1" si="37"/>
        <v>0</v>
      </c>
      <c r="R24" s="32">
        <f t="shared" ca="1" si="38"/>
        <v>0</v>
      </c>
      <c r="S24" s="32">
        <f t="shared" ca="1" si="39"/>
        <v>0</v>
      </c>
      <c r="T24" s="33"/>
      <c r="U24" s="32">
        <f t="shared" ca="1" si="40"/>
        <v>0</v>
      </c>
      <c r="V24" s="32">
        <f t="shared" ca="1" si="41"/>
        <v>0</v>
      </c>
      <c r="W24" s="32">
        <f t="shared" ca="1" si="42"/>
        <v>0</v>
      </c>
      <c r="X24" s="32">
        <f t="shared" ca="1" si="43"/>
        <v>0</v>
      </c>
      <c r="Y24" s="32">
        <f t="shared" ca="1" si="44"/>
        <v>0</v>
      </c>
      <c r="Z24" s="32">
        <f t="shared" ca="1" si="45"/>
        <v>0</v>
      </c>
      <c r="AA24" s="32">
        <f t="shared" ca="1" si="46"/>
        <v>0</v>
      </c>
      <c r="AB24" s="32">
        <f t="shared" ca="1" si="47"/>
        <v>0</v>
      </c>
    </row>
    <row r="25" spans="1:28" ht="12.75" customHeight="1">
      <c r="A25" s="31">
        <v>3413</v>
      </c>
      <c r="B25" s="32" t="s">
        <v>85</v>
      </c>
      <c r="C25" s="32">
        <f t="shared" ca="1" si="25"/>
        <v>0</v>
      </c>
      <c r="D25" s="32">
        <f t="shared" ca="1" si="26"/>
        <v>0</v>
      </c>
      <c r="E25" s="32">
        <f t="shared" ca="1" si="27"/>
        <v>0</v>
      </c>
      <c r="F25" s="32">
        <f t="shared" ca="1" si="28"/>
        <v>0</v>
      </c>
      <c r="G25" s="33"/>
      <c r="H25" s="32">
        <f t="shared" ca="1" si="29"/>
        <v>0</v>
      </c>
      <c r="I25" s="33"/>
      <c r="J25" s="32">
        <f t="shared" ca="1" si="30"/>
        <v>0</v>
      </c>
      <c r="K25" s="32">
        <f t="shared" ca="1" si="31"/>
        <v>0</v>
      </c>
      <c r="L25" s="32">
        <f t="shared" ca="1" si="32"/>
        <v>0</v>
      </c>
      <c r="M25" s="32">
        <f t="shared" ca="1" si="33"/>
        <v>0</v>
      </c>
      <c r="N25" s="32">
        <f t="shared" ca="1" si="34"/>
        <v>0</v>
      </c>
      <c r="O25" s="32">
        <f t="shared" ca="1" si="35"/>
        <v>0</v>
      </c>
      <c r="P25" s="32">
        <f t="shared" ca="1" si="36"/>
        <v>0</v>
      </c>
      <c r="Q25" s="32">
        <f t="shared" ca="1" si="37"/>
        <v>0</v>
      </c>
      <c r="R25" s="32">
        <f t="shared" ca="1" si="38"/>
        <v>0</v>
      </c>
      <c r="S25" s="32">
        <f t="shared" ca="1" si="39"/>
        <v>0</v>
      </c>
      <c r="T25" s="33"/>
      <c r="U25" s="32">
        <f t="shared" ca="1" si="40"/>
        <v>0</v>
      </c>
      <c r="V25" s="32">
        <f t="shared" ca="1" si="41"/>
        <v>0</v>
      </c>
      <c r="W25" s="32">
        <f t="shared" ca="1" si="42"/>
        <v>0</v>
      </c>
      <c r="X25" s="32">
        <f t="shared" ca="1" si="43"/>
        <v>0</v>
      </c>
      <c r="Y25" s="32">
        <f t="shared" ca="1" si="44"/>
        <v>0</v>
      </c>
      <c r="Z25" s="32">
        <f t="shared" ca="1" si="45"/>
        <v>0</v>
      </c>
      <c r="AA25" s="32">
        <f t="shared" ca="1" si="46"/>
        <v>0</v>
      </c>
      <c r="AB25" s="32">
        <f t="shared" ca="1" si="47"/>
        <v>0</v>
      </c>
    </row>
    <row r="26" spans="1:28" ht="12.75" customHeight="1">
      <c r="A26" s="31">
        <v>3414</v>
      </c>
      <c r="B26" s="32" t="s">
        <v>86</v>
      </c>
      <c r="C26" s="32">
        <f t="shared" ca="1" si="25"/>
        <v>0</v>
      </c>
      <c r="D26" s="32">
        <f t="shared" ca="1" si="26"/>
        <v>0</v>
      </c>
      <c r="E26" s="32">
        <f t="shared" ca="1" si="27"/>
        <v>0</v>
      </c>
      <c r="F26" s="32">
        <f t="shared" ca="1" si="28"/>
        <v>0</v>
      </c>
      <c r="G26" s="33"/>
      <c r="H26" s="32">
        <f t="shared" ca="1" si="29"/>
        <v>0</v>
      </c>
      <c r="I26" s="33"/>
      <c r="J26" s="32">
        <f t="shared" ca="1" si="30"/>
        <v>0</v>
      </c>
      <c r="K26" s="32">
        <f t="shared" ca="1" si="31"/>
        <v>0</v>
      </c>
      <c r="L26" s="32">
        <f t="shared" ca="1" si="32"/>
        <v>0</v>
      </c>
      <c r="M26" s="32">
        <f t="shared" ca="1" si="33"/>
        <v>0</v>
      </c>
      <c r="N26" s="32">
        <f t="shared" ca="1" si="34"/>
        <v>0</v>
      </c>
      <c r="O26" s="32">
        <f t="shared" ca="1" si="35"/>
        <v>0</v>
      </c>
      <c r="P26" s="32">
        <f t="shared" ca="1" si="36"/>
        <v>0</v>
      </c>
      <c r="Q26" s="32">
        <f t="shared" ca="1" si="37"/>
        <v>0</v>
      </c>
      <c r="R26" s="32">
        <f t="shared" ca="1" si="38"/>
        <v>0</v>
      </c>
      <c r="S26" s="32">
        <f t="shared" ca="1" si="39"/>
        <v>0</v>
      </c>
      <c r="T26" s="33"/>
      <c r="U26" s="32">
        <f t="shared" ca="1" si="40"/>
        <v>0</v>
      </c>
      <c r="V26" s="32">
        <f t="shared" ca="1" si="41"/>
        <v>0</v>
      </c>
      <c r="W26" s="32">
        <f t="shared" ca="1" si="42"/>
        <v>0</v>
      </c>
      <c r="X26" s="32">
        <f t="shared" ca="1" si="43"/>
        <v>0</v>
      </c>
      <c r="Y26" s="32">
        <f t="shared" ca="1" si="44"/>
        <v>0</v>
      </c>
      <c r="Z26" s="32">
        <f t="shared" ca="1" si="45"/>
        <v>0</v>
      </c>
      <c r="AA26" s="32">
        <f t="shared" ca="1" si="46"/>
        <v>0</v>
      </c>
      <c r="AB26" s="32">
        <f t="shared" ca="1" si="47"/>
        <v>0</v>
      </c>
    </row>
    <row r="27" spans="1:28" ht="12.75" customHeight="1">
      <c r="A27" s="31">
        <v>3415</v>
      </c>
      <c r="B27" s="32" t="s">
        <v>87</v>
      </c>
      <c r="C27" s="32">
        <f t="shared" ca="1" si="25"/>
        <v>0</v>
      </c>
      <c r="D27" s="32">
        <f t="shared" ca="1" si="26"/>
        <v>0</v>
      </c>
      <c r="E27" s="32">
        <f t="shared" ca="1" si="27"/>
        <v>0</v>
      </c>
      <c r="F27" s="32">
        <f t="shared" ca="1" si="28"/>
        <v>0</v>
      </c>
      <c r="G27" s="33"/>
      <c r="H27" s="32">
        <f t="shared" ca="1" si="29"/>
        <v>0</v>
      </c>
      <c r="I27" s="33"/>
      <c r="J27" s="32">
        <f t="shared" ca="1" si="30"/>
        <v>0</v>
      </c>
      <c r="K27" s="32">
        <f t="shared" ca="1" si="31"/>
        <v>0</v>
      </c>
      <c r="L27" s="32">
        <f t="shared" ca="1" si="32"/>
        <v>0</v>
      </c>
      <c r="M27" s="32">
        <f t="shared" ca="1" si="33"/>
        <v>0</v>
      </c>
      <c r="N27" s="32">
        <f t="shared" ca="1" si="34"/>
        <v>0</v>
      </c>
      <c r="O27" s="32">
        <f t="shared" ca="1" si="35"/>
        <v>0</v>
      </c>
      <c r="P27" s="32">
        <f t="shared" ca="1" si="36"/>
        <v>0</v>
      </c>
      <c r="Q27" s="32">
        <f t="shared" ca="1" si="37"/>
        <v>0</v>
      </c>
      <c r="R27" s="32">
        <f t="shared" ca="1" si="38"/>
        <v>0</v>
      </c>
      <c r="S27" s="32">
        <f t="shared" ca="1" si="39"/>
        <v>0</v>
      </c>
      <c r="T27" s="33"/>
      <c r="U27" s="32">
        <f t="shared" ca="1" si="40"/>
        <v>0</v>
      </c>
      <c r="V27" s="32">
        <f t="shared" ca="1" si="41"/>
        <v>0</v>
      </c>
      <c r="W27" s="32">
        <f t="shared" ca="1" si="42"/>
        <v>0</v>
      </c>
      <c r="X27" s="32">
        <f t="shared" ca="1" si="43"/>
        <v>0</v>
      </c>
      <c r="Y27" s="32">
        <f t="shared" ca="1" si="44"/>
        <v>0</v>
      </c>
      <c r="Z27" s="32">
        <f t="shared" ca="1" si="45"/>
        <v>0</v>
      </c>
      <c r="AA27" s="32">
        <f t="shared" ca="1" si="46"/>
        <v>0</v>
      </c>
      <c r="AB27" s="32">
        <f t="shared" ca="1" si="47"/>
        <v>0</v>
      </c>
    </row>
    <row r="28" spans="1:28" ht="12.75" customHeight="1">
      <c r="A28" s="31">
        <v>3416</v>
      </c>
      <c r="B28" s="32" t="s">
        <v>88</v>
      </c>
      <c r="C28" s="32">
        <f t="shared" ca="1" si="25"/>
        <v>0</v>
      </c>
      <c r="D28" s="32">
        <f t="shared" ca="1" si="26"/>
        <v>0</v>
      </c>
      <c r="E28" s="32">
        <f t="shared" ca="1" si="27"/>
        <v>0</v>
      </c>
      <c r="F28" s="32">
        <f t="shared" ca="1" si="28"/>
        <v>0</v>
      </c>
      <c r="G28" s="33"/>
      <c r="H28" s="32">
        <f t="shared" ca="1" si="29"/>
        <v>0</v>
      </c>
      <c r="I28" s="33"/>
      <c r="J28" s="32">
        <f t="shared" ca="1" si="30"/>
        <v>0</v>
      </c>
      <c r="K28" s="32">
        <f t="shared" ca="1" si="31"/>
        <v>0</v>
      </c>
      <c r="L28" s="32">
        <f t="shared" ca="1" si="32"/>
        <v>0</v>
      </c>
      <c r="M28" s="32">
        <f t="shared" ca="1" si="33"/>
        <v>0</v>
      </c>
      <c r="N28" s="32">
        <f t="shared" ca="1" si="34"/>
        <v>0</v>
      </c>
      <c r="O28" s="32">
        <f t="shared" ca="1" si="35"/>
        <v>0</v>
      </c>
      <c r="P28" s="32">
        <f t="shared" ca="1" si="36"/>
        <v>0</v>
      </c>
      <c r="Q28" s="32">
        <f t="shared" ca="1" si="37"/>
        <v>0</v>
      </c>
      <c r="R28" s="32">
        <f t="shared" ca="1" si="38"/>
        <v>0</v>
      </c>
      <c r="S28" s="32">
        <f t="shared" ca="1" si="39"/>
        <v>0</v>
      </c>
      <c r="T28" s="33"/>
      <c r="U28" s="32">
        <f t="shared" ca="1" si="40"/>
        <v>0</v>
      </c>
      <c r="V28" s="32">
        <f t="shared" ca="1" si="41"/>
        <v>0</v>
      </c>
      <c r="W28" s="32">
        <f t="shared" ca="1" si="42"/>
        <v>0</v>
      </c>
      <c r="X28" s="32">
        <f t="shared" ca="1" si="43"/>
        <v>0</v>
      </c>
      <c r="Y28" s="32">
        <f t="shared" ca="1" si="44"/>
        <v>0</v>
      </c>
      <c r="Z28" s="32">
        <f t="shared" ca="1" si="45"/>
        <v>0</v>
      </c>
      <c r="AA28" s="32">
        <f t="shared" ca="1" si="46"/>
        <v>0</v>
      </c>
      <c r="AB28" s="32">
        <f t="shared" ca="1" si="47"/>
        <v>0</v>
      </c>
    </row>
    <row r="29" spans="1:28" ht="12.75" customHeight="1">
      <c r="A29" s="31">
        <v>3419</v>
      </c>
      <c r="B29" s="34" t="s">
        <v>89</v>
      </c>
      <c r="C29" s="32">
        <f ca="1">ROUND(SUM(C23:C28),0)</f>
        <v>0</v>
      </c>
      <c r="D29" s="32">
        <f ca="1">ROUND(SUM(D23:D28),0)</f>
        <v>0</v>
      </c>
      <c r="E29" s="32">
        <f ca="1">ROUND(SUM(E23:E28),0)</f>
        <v>0</v>
      </c>
      <c r="F29" s="32">
        <f ca="1">ROUND(SUM(F23:F28),0)</f>
        <v>0</v>
      </c>
      <c r="G29" s="33"/>
      <c r="H29" s="32">
        <f t="shared" ca="1" si="29"/>
        <v>0</v>
      </c>
      <c r="I29" s="33"/>
      <c r="J29" s="32">
        <f t="shared" ref="J29:P29" ca="1" si="48">ROUND(SUM(J23:J28),0)</f>
        <v>0</v>
      </c>
      <c r="K29" s="32">
        <f t="shared" ca="1" si="48"/>
        <v>0</v>
      </c>
      <c r="L29" s="32">
        <f t="shared" ca="1" si="48"/>
        <v>0</v>
      </c>
      <c r="M29" s="32">
        <f t="shared" ca="1" si="48"/>
        <v>0</v>
      </c>
      <c r="N29" s="32">
        <f t="shared" ca="1" si="48"/>
        <v>0</v>
      </c>
      <c r="O29" s="32">
        <f t="shared" ca="1" si="48"/>
        <v>0</v>
      </c>
      <c r="P29" s="32">
        <f t="shared" ca="1" si="48"/>
        <v>0</v>
      </c>
      <c r="Q29" s="32">
        <f t="shared" ref="Q29:Z29" ca="1" si="49">ROUND(SUM(Q23:Q28),0)</f>
        <v>0</v>
      </c>
      <c r="R29" s="32">
        <f t="shared" ca="1" si="49"/>
        <v>0</v>
      </c>
      <c r="S29" s="32">
        <f ca="1">ROUND(SUM(S23:S28),0)</f>
        <v>0</v>
      </c>
      <c r="T29" s="33"/>
      <c r="U29" s="32">
        <f t="shared" ca="1" si="49"/>
        <v>0</v>
      </c>
      <c r="V29" s="32">
        <f t="shared" ca="1" si="49"/>
        <v>0</v>
      </c>
      <c r="W29" s="32">
        <f ca="1">ROUND(SUM(W23:W28),0)</f>
        <v>0</v>
      </c>
      <c r="X29" s="32">
        <f t="shared" ca="1" si="49"/>
        <v>0</v>
      </c>
      <c r="Y29" s="32">
        <f t="shared" ca="1" si="49"/>
        <v>0</v>
      </c>
      <c r="Z29" s="32">
        <f t="shared" ca="1" si="49"/>
        <v>0</v>
      </c>
      <c r="AA29" s="32">
        <f ca="1">ROUND(SUM(AA23:AA28),0)</f>
        <v>0</v>
      </c>
      <c r="AB29" s="32">
        <f t="shared" ca="1" si="47"/>
        <v>0</v>
      </c>
    </row>
    <row r="30" spans="1:28" ht="12.75" customHeight="1">
      <c r="A30" s="35"/>
      <c r="B30" s="120" t="s">
        <v>102</v>
      </c>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ht="12.75" customHeight="1">
      <c r="A31" s="31">
        <v>3421</v>
      </c>
      <c r="B31" s="32" t="s">
        <v>91</v>
      </c>
      <c r="C31" s="32">
        <f t="shared" ref="C31:C36" ca="1" si="50">SUMIF(lines,$A31,day)</f>
        <v>0</v>
      </c>
      <c r="D31" s="32">
        <f t="shared" ref="D31:D36" ca="1" si="51">SUMIF(lines,$A31,special)</f>
        <v>0</v>
      </c>
      <c r="E31" s="32">
        <f t="shared" ref="E31:E36" ca="1" si="52">SUMIF(lines,$A31,occday)</f>
        <v>0</v>
      </c>
      <c r="F31" s="32">
        <f t="shared" ref="F31:F36" ca="1" si="53">SUMIF(lines,$A31,other)</f>
        <v>0</v>
      </c>
      <c r="G31" s="33"/>
      <c r="H31" s="32">
        <f t="shared" ca="1" si="29"/>
        <v>0</v>
      </c>
      <c r="I31" s="33"/>
      <c r="J31" s="32">
        <f t="shared" ref="J31:J36" ca="1" si="54">SUMIF(lines,$A31,TitleI)</f>
        <v>0</v>
      </c>
      <c r="K31" s="32">
        <f t="shared" ref="K31:K36" ca="1" si="55">SUMIF(lines,$A31,IDEA)</f>
        <v>0</v>
      </c>
      <c r="L31" s="32">
        <f t="shared" ref="L31:L36" ca="1" si="56">SUMIF(lines,$A31,ESSERI)</f>
        <v>0</v>
      </c>
      <c r="M31" s="32">
        <f t="shared" ref="M31:M36" ca="1" si="57">SUMIF(lines,$A31,ESSERII)</f>
        <v>0</v>
      </c>
      <c r="N31" s="32">
        <f t="shared" ref="N31:N36" ca="1" si="58">SUMIF(lines,$A31,ESSERIII)</f>
        <v>0</v>
      </c>
      <c r="O31" s="32">
        <f t="shared" ref="O31:O36" ca="1" si="59">SUMIF(lines,$A31,ESSERG)</f>
        <v>0</v>
      </c>
      <c r="P31" s="32">
        <f t="shared" ref="P31:P36" ca="1" si="60">SUMIF(lines,$A31,GEER)</f>
        <v>0</v>
      </c>
      <c r="Q31" s="32">
        <f t="shared" ref="Q31:Q36" ca="1" si="61">SUMIF(lines,$A31,doefed)</f>
        <v>0</v>
      </c>
      <c r="R31" s="32">
        <f t="shared" ref="R31:R36" ca="1" si="62">SUMIF(lines,$A31,adultfed)</f>
        <v>0</v>
      </c>
      <c r="S31" s="32">
        <f t="shared" ref="S31:S36" ca="1" si="63">SUMIF(lines,$A31,otherfed)</f>
        <v>0</v>
      </c>
      <c r="T31" s="33"/>
      <c r="U31" s="32">
        <f t="shared" ref="U31:U36" ca="1" si="64">SUMIF(lines,$A31,doestate)</f>
        <v>0</v>
      </c>
      <c r="V31" s="32">
        <f t="shared" ref="V31:V36" ca="1" si="65">SUMIF(lines,$A31,adultstate)</f>
        <v>0</v>
      </c>
      <c r="W31" s="32">
        <f t="shared" ref="W31:W36" ca="1" si="66">SUMIF(lines,$A31,otherstate)</f>
        <v>0</v>
      </c>
      <c r="X31" s="32">
        <f t="shared" ref="X31:X36" ca="1" si="67">SUMIF(lines,$A31,circuitbreaker)</f>
        <v>0</v>
      </c>
      <c r="Y31" s="32">
        <f t="shared" ref="Y31:Y36" ca="1" si="68">SUMIF(lines,$A31,private)</f>
        <v>0</v>
      </c>
      <c r="Z31" s="32">
        <f t="shared" ref="Z31:Z36" ca="1" si="69">SUMIF(lines,$A31,schchoice)</f>
        <v>0</v>
      </c>
      <c r="AA31" s="32">
        <f t="shared" ref="AA31:AA36" ca="1" si="70">SUMIF(lines,$A31,otherreceipts)</f>
        <v>0</v>
      </c>
      <c r="AB31" s="32">
        <f t="shared" ref="AB31:AB37" ca="1" si="71">ROUND(SUM(H31:AA31),0)</f>
        <v>0</v>
      </c>
    </row>
    <row r="32" spans="1:28" ht="12.75" customHeight="1">
      <c r="A32" s="31">
        <v>3422</v>
      </c>
      <c r="B32" s="32" t="s">
        <v>84</v>
      </c>
      <c r="C32" s="32">
        <f t="shared" ca="1" si="50"/>
        <v>0</v>
      </c>
      <c r="D32" s="32">
        <f t="shared" ca="1" si="51"/>
        <v>0</v>
      </c>
      <c r="E32" s="32">
        <f t="shared" ca="1" si="52"/>
        <v>0</v>
      </c>
      <c r="F32" s="32">
        <f t="shared" ca="1" si="53"/>
        <v>0</v>
      </c>
      <c r="G32" s="33"/>
      <c r="H32" s="32">
        <f t="shared" ca="1" si="29"/>
        <v>0</v>
      </c>
      <c r="I32" s="33"/>
      <c r="J32" s="32">
        <f t="shared" ca="1" si="54"/>
        <v>0</v>
      </c>
      <c r="K32" s="32">
        <f t="shared" ca="1" si="55"/>
        <v>0</v>
      </c>
      <c r="L32" s="32">
        <f t="shared" ca="1" si="56"/>
        <v>0</v>
      </c>
      <c r="M32" s="32">
        <f t="shared" ca="1" si="57"/>
        <v>0</v>
      </c>
      <c r="N32" s="32">
        <f t="shared" ca="1" si="58"/>
        <v>0</v>
      </c>
      <c r="O32" s="32">
        <f t="shared" ca="1" si="59"/>
        <v>0</v>
      </c>
      <c r="P32" s="32">
        <f t="shared" ca="1" si="60"/>
        <v>0</v>
      </c>
      <c r="Q32" s="32">
        <f t="shared" ca="1" si="61"/>
        <v>0</v>
      </c>
      <c r="R32" s="32">
        <f t="shared" ca="1" si="62"/>
        <v>0</v>
      </c>
      <c r="S32" s="32">
        <f t="shared" ca="1" si="63"/>
        <v>0</v>
      </c>
      <c r="T32" s="33"/>
      <c r="U32" s="32">
        <f t="shared" ca="1" si="64"/>
        <v>0</v>
      </c>
      <c r="V32" s="32">
        <f t="shared" ca="1" si="65"/>
        <v>0</v>
      </c>
      <c r="W32" s="32">
        <f t="shared" ca="1" si="66"/>
        <v>0</v>
      </c>
      <c r="X32" s="32">
        <f t="shared" ca="1" si="67"/>
        <v>0</v>
      </c>
      <c r="Y32" s="32">
        <f t="shared" ca="1" si="68"/>
        <v>0</v>
      </c>
      <c r="Z32" s="32">
        <f t="shared" ca="1" si="69"/>
        <v>0</v>
      </c>
      <c r="AA32" s="32">
        <f t="shared" ca="1" si="70"/>
        <v>0</v>
      </c>
      <c r="AB32" s="32">
        <f t="shared" ca="1" si="71"/>
        <v>0</v>
      </c>
    </row>
    <row r="33" spans="1:28" ht="12.75" customHeight="1">
      <c r="A33" s="31">
        <v>3423</v>
      </c>
      <c r="B33" s="32" t="s">
        <v>85</v>
      </c>
      <c r="C33" s="32">
        <f t="shared" ca="1" si="50"/>
        <v>0</v>
      </c>
      <c r="D33" s="32">
        <f t="shared" ca="1" si="51"/>
        <v>0</v>
      </c>
      <c r="E33" s="32">
        <f t="shared" ca="1" si="52"/>
        <v>0</v>
      </c>
      <c r="F33" s="32">
        <f t="shared" ca="1" si="53"/>
        <v>0</v>
      </c>
      <c r="G33" s="33"/>
      <c r="H33" s="32">
        <f t="shared" ca="1" si="29"/>
        <v>0</v>
      </c>
      <c r="I33" s="33"/>
      <c r="J33" s="32">
        <f t="shared" ca="1" si="54"/>
        <v>0</v>
      </c>
      <c r="K33" s="32">
        <f t="shared" ca="1" si="55"/>
        <v>0</v>
      </c>
      <c r="L33" s="32">
        <f t="shared" ca="1" si="56"/>
        <v>0</v>
      </c>
      <c r="M33" s="32">
        <f t="shared" ca="1" si="57"/>
        <v>0</v>
      </c>
      <c r="N33" s="32">
        <f t="shared" ca="1" si="58"/>
        <v>0</v>
      </c>
      <c r="O33" s="32">
        <f t="shared" ca="1" si="59"/>
        <v>0</v>
      </c>
      <c r="P33" s="32">
        <f t="shared" ca="1" si="60"/>
        <v>0</v>
      </c>
      <c r="Q33" s="32">
        <f t="shared" ca="1" si="61"/>
        <v>0</v>
      </c>
      <c r="R33" s="32">
        <f t="shared" ca="1" si="62"/>
        <v>0</v>
      </c>
      <c r="S33" s="32">
        <f t="shared" ca="1" si="63"/>
        <v>0</v>
      </c>
      <c r="T33" s="33"/>
      <c r="U33" s="32">
        <f t="shared" ca="1" si="64"/>
        <v>0</v>
      </c>
      <c r="V33" s="32">
        <f t="shared" ca="1" si="65"/>
        <v>0</v>
      </c>
      <c r="W33" s="32">
        <f t="shared" ca="1" si="66"/>
        <v>0</v>
      </c>
      <c r="X33" s="32">
        <f t="shared" ca="1" si="67"/>
        <v>0</v>
      </c>
      <c r="Y33" s="32">
        <f t="shared" ca="1" si="68"/>
        <v>0</v>
      </c>
      <c r="Z33" s="32">
        <f t="shared" ca="1" si="69"/>
        <v>0</v>
      </c>
      <c r="AA33" s="32">
        <f t="shared" ca="1" si="70"/>
        <v>0</v>
      </c>
      <c r="AB33" s="32">
        <f t="shared" ca="1" si="71"/>
        <v>0</v>
      </c>
    </row>
    <row r="34" spans="1:28" ht="12.75" customHeight="1">
      <c r="A34" s="31">
        <v>3424</v>
      </c>
      <c r="B34" s="32" t="s">
        <v>86</v>
      </c>
      <c r="C34" s="32">
        <f t="shared" ca="1" si="50"/>
        <v>0</v>
      </c>
      <c r="D34" s="32">
        <f t="shared" ca="1" si="51"/>
        <v>0</v>
      </c>
      <c r="E34" s="32">
        <f t="shared" ca="1" si="52"/>
        <v>0</v>
      </c>
      <c r="F34" s="32">
        <f t="shared" ca="1" si="53"/>
        <v>0</v>
      </c>
      <c r="G34" s="33"/>
      <c r="H34" s="32">
        <f t="shared" ca="1" si="29"/>
        <v>0</v>
      </c>
      <c r="I34" s="33"/>
      <c r="J34" s="32">
        <f t="shared" ca="1" si="54"/>
        <v>0</v>
      </c>
      <c r="K34" s="32">
        <f t="shared" ca="1" si="55"/>
        <v>0</v>
      </c>
      <c r="L34" s="32">
        <f t="shared" ca="1" si="56"/>
        <v>0</v>
      </c>
      <c r="M34" s="32">
        <f t="shared" ca="1" si="57"/>
        <v>0</v>
      </c>
      <c r="N34" s="32">
        <f t="shared" ca="1" si="58"/>
        <v>0</v>
      </c>
      <c r="O34" s="32">
        <f t="shared" ca="1" si="59"/>
        <v>0</v>
      </c>
      <c r="P34" s="32">
        <f t="shared" ca="1" si="60"/>
        <v>0</v>
      </c>
      <c r="Q34" s="32">
        <f t="shared" ca="1" si="61"/>
        <v>0</v>
      </c>
      <c r="R34" s="32">
        <f t="shared" ca="1" si="62"/>
        <v>0</v>
      </c>
      <c r="S34" s="32">
        <f t="shared" ca="1" si="63"/>
        <v>0</v>
      </c>
      <c r="T34" s="33"/>
      <c r="U34" s="32">
        <f t="shared" ca="1" si="64"/>
        <v>0</v>
      </c>
      <c r="V34" s="32">
        <f t="shared" ca="1" si="65"/>
        <v>0</v>
      </c>
      <c r="W34" s="32">
        <f t="shared" ca="1" si="66"/>
        <v>0</v>
      </c>
      <c r="X34" s="32">
        <f t="shared" ca="1" si="67"/>
        <v>0</v>
      </c>
      <c r="Y34" s="32">
        <f t="shared" ca="1" si="68"/>
        <v>0</v>
      </c>
      <c r="Z34" s="32">
        <f t="shared" ca="1" si="69"/>
        <v>0</v>
      </c>
      <c r="AA34" s="32">
        <f t="shared" ca="1" si="70"/>
        <v>0</v>
      </c>
      <c r="AB34" s="32">
        <f t="shared" ca="1" si="71"/>
        <v>0</v>
      </c>
    </row>
    <row r="35" spans="1:28" ht="12.75" customHeight="1">
      <c r="A35" s="31">
        <v>3425</v>
      </c>
      <c r="B35" s="32" t="s">
        <v>87</v>
      </c>
      <c r="C35" s="32">
        <f t="shared" ca="1" si="50"/>
        <v>0</v>
      </c>
      <c r="D35" s="32">
        <f t="shared" ca="1" si="51"/>
        <v>0</v>
      </c>
      <c r="E35" s="32">
        <f t="shared" ca="1" si="52"/>
        <v>0</v>
      </c>
      <c r="F35" s="32">
        <f t="shared" ca="1" si="53"/>
        <v>0</v>
      </c>
      <c r="G35" s="33"/>
      <c r="H35" s="32">
        <f t="shared" ca="1" si="29"/>
        <v>0</v>
      </c>
      <c r="I35" s="33"/>
      <c r="J35" s="32">
        <f t="shared" ca="1" si="54"/>
        <v>0</v>
      </c>
      <c r="K35" s="32">
        <f t="shared" ca="1" si="55"/>
        <v>0</v>
      </c>
      <c r="L35" s="32">
        <f t="shared" ca="1" si="56"/>
        <v>0</v>
      </c>
      <c r="M35" s="32">
        <f t="shared" ca="1" si="57"/>
        <v>0</v>
      </c>
      <c r="N35" s="32">
        <f t="shared" ca="1" si="58"/>
        <v>0</v>
      </c>
      <c r="O35" s="32">
        <f t="shared" ca="1" si="59"/>
        <v>0</v>
      </c>
      <c r="P35" s="32">
        <f t="shared" ca="1" si="60"/>
        <v>0</v>
      </c>
      <c r="Q35" s="32">
        <f t="shared" ca="1" si="61"/>
        <v>0</v>
      </c>
      <c r="R35" s="32">
        <f t="shared" ca="1" si="62"/>
        <v>0</v>
      </c>
      <c r="S35" s="32">
        <f t="shared" ca="1" si="63"/>
        <v>0</v>
      </c>
      <c r="T35" s="33"/>
      <c r="U35" s="32">
        <f t="shared" ca="1" si="64"/>
        <v>0</v>
      </c>
      <c r="V35" s="32">
        <f t="shared" ca="1" si="65"/>
        <v>0</v>
      </c>
      <c r="W35" s="32">
        <f t="shared" ca="1" si="66"/>
        <v>0</v>
      </c>
      <c r="X35" s="32">
        <f t="shared" ca="1" si="67"/>
        <v>0</v>
      </c>
      <c r="Y35" s="32">
        <f t="shared" ca="1" si="68"/>
        <v>0</v>
      </c>
      <c r="Z35" s="32">
        <f t="shared" ca="1" si="69"/>
        <v>0</v>
      </c>
      <c r="AA35" s="32">
        <f t="shared" ca="1" si="70"/>
        <v>0</v>
      </c>
      <c r="AB35" s="32">
        <f t="shared" ca="1" si="71"/>
        <v>0</v>
      </c>
    </row>
    <row r="36" spans="1:28" ht="12.75" customHeight="1">
      <c r="A36" s="31">
        <v>3426</v>
      </c>
      <c r="B36" s="32" t="s">
        <v>88</v>
      </c>
      <c r="C36" s="32">
        <f t="shared" ca="1" si="50"/>
        <v>0</v>
      </c>
      <c r="D36" s="32">
        <f t="shared" ca="1" si="51"/>
        <v>0</v>
      </c>
      <c r="E36" s="32">
        <f t="shared" ca="1" si="52"/>
        <v>0</v>
      </c>
      <c r="F36" s="32">
        <f t="shared" ca="1" si="53"/>
        <v>0</v>
      </c>
      <c r="G36" s="33"/>
      <c r="H36" s="32">
        <f t="shared" ca="1" si="29"/>
        <v>0</v>
      </c>
      <c r="I36" s="33"/>
      <c r="J36" s="32">
        <f t="shared" ca="1" si="54"/>
        <v>0</v>
      </c>
      <c r="K36" s="32">
        <f t="shared" ca="1" si="55"/>
        <v>0</v>
      </c>
      <c r="L36" s="32">
        <f t="shared" ca="1" si="56"/>
        <v>0</v>
      </c>
      <c r="M36" s="32">
        <f t="shared" ca="1" si="57"/>
        <v>0</v>
      </c>
      <c r="N36" s="32">
        <f t="shared" ca="1" si="58"/>
        <v>0</v>
      </c>
      <c r="O36" s="32">
        <f t="shared" ca="1" si="59"/>
        <v>0</v>
      </c>
      <c r="P36" s="32">
        <f t="shared" ca="1" si="60"/>
        <v>0</v>
      </c>
      <c r="Q36" s="32">
        <f t="shared" ca="1" si="61"/>
        <v>0</v>
      </c>
      <c r="R36" s="32">
        <f t="shared" ca="1" si="62"/>
        <v>0</v>
      </c>
      <c r="S36" s="32">
        <f t="shared" ca="1" si="63"/>
        <v>0</v>
      </c>
      <c r="T36" s="33"/>
      <c r="U36" s="32">
        <f t="shared" ca="1" si="64"/>
        <v>0</v>
      </c>
      <c r="V36" s="32">
        <f t="shared" ca="1" si="65"/>
        <v>0</v>
      </c>
      <c r="W36" s="32">
        <f t="shared" ca="1" si="66"/>
        <v>0</v>
      </c>
      <c r="X36" s="32">
        <f t="shared" ca="1" si="67"/>
        <v>0</v>
      </c>
      <c r="Y36" s="32">
        <f t="shared" ca="1" si="68"/>
        <v>0</v>
      </c>
      <c r="Z36" s="32">
        <f t="shared" ca="1" si="69"/>
        <v>0</v>
      </c>
      <c r="AA36" s="32">
        <f t="shared" ca="1" si="70"/>
        <v>0</v>
      </c>
      <c r="AB36" s="32">
        <f t="shared" ca="1" si="71"/>
        <v>0</v>
      </c>
    </row>
    <row r="37" spans="1:28" ht="12.75" customHeight="1">
      <c r="A37" s="31">
        <v>3427</v>
      </c>
      <c r="B37" s="34" t="s">
        <v>89</v>
      </c>
      <c r="C37" s="32">
        <f ca="1">ROUND(SUM(C31:C36),0)</f>
        <v>0</v>
      </c>
      <c r="D37" s="32">
        <f ca="1">ROUND(SUM(D31:D36),0)</f>
        <v>0</v>
      </c>
      <c r="E37" s="32">
        <f ca="1">ROUND(SUM(E31:E36),0)</f>
        <v>0</v>
      </c>
      <c r="F37" s="32">
        <f ca="1">ROUND(SUM(F31:F36),0)</f>
        <v>0</v>
      </c>
      <c r="G37" s="33"/>
      <c r="H37" s="32">
        <f t="shared" ca="1" si="29"/>
        <v>0</v>
      </c>
      <c r="I37" s="33"/>
      <c r="J37" s="32">
        <f t="shared" ref="J37:P37" ca="1" si="72">ROUND(SUM(J31:J36),0)</f>
        <v>0</v>
      </c>
      <c r="K37" s="32">
        <f t="shared" ca="1" si="72"/>
        <v>0</v>
      </c>
      <c r="L37" s="32">
        <f t="shared" ca="1" si="72"/>
        <v>0</v>
      </c>
      <c r="M37" s="32">
        <f t="shared" ca="1" si="72"/>
        <v>0</v>
      </c>
      <c r="N37" s="32">
        <f t="shared" ca="1" si="72"/>
        <v>0</v>
      </c>
      <c r="O37" s="32">
        <f t="shared" ca="1" si="72"/>
        <v>0</v>
      </c>
      <c r="P37" s="32">
        <f t="shared" ca="1" si="72"/>
        <v>0</v>
      </c>
      <c r="Q37" s="32">
        <f ca="1">ROUND(SUM(Q31:Q36),0)</f>
        <v>0</v>
      </c>
      <c r="R37" s="32">
        <f t="shared" ref="R37:AA37" ca="1" si="73">ROUND(SUM(R31:R36),0)</f>
        <v>0</v>
      </c>
      <c r="S37" s="32">
        <f ca="1">ROUND(SUM(S31:S36),0)</f>
        <v>0</v>
      </c>
      <c r="T37" s="33"/>
      <c r="U37" s="32">
        <f t="shared" ca="1" si="73"/>
        <v>0</v>
      </c>
      <c r="V37" s="32">
        <f t="shared" ca="1" si="73"/>
        <v>0</v>
      </c>
      <c r="W37" s="32">
        <f ca="1">ROUND(SUM(W31:W36),0)</f>
        <v>0</v>
      </c>
      <c r="X37" s="32">
        <f t="shared" ca="1" si="73"/>
        <v>0</v>
      </c>
      <c r="Y37" s="32">
        <f t="shared" ca="1" si="73"/>
        <v>0</v>
      </c>
      <c r="Z37" s="32">
        <f t="shared" ca="1" si="73"/>
        <v>0</v>
      </c>
      <c r="AA37" s="32">
        <f t="shared" ca="1" si="73"/>
        <v>0</v>
      </c>
      <c r="AB37" s="32">
        <f t="shared" ca="1" si="71"/>
        <v>0</v>
      </c>
    </row>
    <row r="38" spans="1:28" ht="12.75" customHeight="1">
      <c r="A38" s="35"/>
      <c r="B38" s="120" t="s">
        <v>103</v>
      </c>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row>
    <row r="39" spans="1:28" ht="12.75" customHeight="1">
      <c r="A39" s="31">
        <v>3428</v>
      </c>
      <c r="B39" s="32" t="s">
        <v>91</v>
      </c>
      <c r="C39" s="33"/>
      <c r="D39" s="33"/>
      <c r="E39" s="33"/>
      <c r="F39" s="33"/>
      <c r="G39" s="32">
        <f t="shared" ref="G39:G44" ca="1" si="74">SUMIF(lines,$A39,undist)</f>
        <v>0</v>
      </c>
      <c r="H39" s="32">
        <f t="shared" ref="H39:H44" ca="1" si="75">ROUND(G39,0)</f>
        <v>0</v>
      </c>
      <c r="I39" s="33"/>
      <c r="J39" s="32">
        <f t="shared" ref="J39:J44" ca="1" si="76">SUMIF(lines,$A39,TitleI)</f>
        <v>0</v>
      </c>
      <c r="K39" s="32">
        <f t="shared" ref="K39:K44" ca="1" si="77">SUMIF(lines,$A39,IDEA)</f>
        <v>0</v>
      </c>
      <c r="L39" s="32">
        <f t="shared" ref="L39:L44" ca="1" si="78">SUMIF(lines,$A39,ESSERI)</f>
        <v>0</v>
      </c>
      <c r="M39" s="32">
        <f t="shared" ref="M39:M44" ca="1" si="79">SUMIF(lines,$A39,ESSERII)</f>
        <v>0</v>
      </c>
      <c r="N39" s="32">
        <f t="shared" ref="N39:N44" ca="1" si="80">SUMIF(lines,$A39,ESSERIII)</f>
        <v>0</v>
      </c>
      <c r="O39" s="32">
        <f t="shared" ref="O39:O44" ca="1" si="81">SUMIF(lines,$A39,ESSERG)</f>
        <v>0</v>
      </c>
      <c r="P39" s="32">
        <f t="shared" ref="P39:P44" ca="1" si="82">SUMIF(lines,$A39,GEER)</f>
        <v>0</v>
      </c>
      <c r="Q39" s="32">
        <f t="shared" ref="Q39:Q44" ca="1" si="83">SUMIF(lines,$A39,doefed)</f>
        <v>0</v>
      </c>
      <c r="R39" s="32">
        <f t="shared" ref="R39:R44" ca="1" si="84">SUMIF(lines,$A39,adultfed)</f>
        <v>0</v>
      </c>
      <c r="S39" s="32">
        <f t="shared" ref="S39:S44" ca="1" si="85">SUMIF(lines,$A39,otherfed)</f>
        <v>0</v>
      </c>
      <c r="T39" s="33"/>
      <c r="U39" s="32">
        <f t="shared" ref="U39:U44" ca="1" si="86">SUMIF(lines,$A39,doestate)</f>
        <v>0</v>
      </c>
      <c r="V39" s="32">
        <f t="shared" ref="V39:V44" ca="1" si="87">SUMIF(lines,$A39,adultstate)</f>
        <v>0</v>
      </c>
      <c r="W39" s="32">
        <f t="shared" ref="W39:W44" ca="1" si="88">SUMIF(lines,$A39,otherstate)</f>
        <v>0</v>
      </c>
      <c r="X39" s="32">
        <f t="shared" ref="X39:X44" ca="1" si="89">SUMIF(lines,$A39,circuitbreaker)</f>
        <v>0</v>
      </c>
      <c r="Y39" s="32">
        <f t="shared" ref="Y39:Y44" ca="1" si="90">SUMIF(lines,$A39,private)</f>
        <v>0</v>
      </c>
      <c r="Z39" s="32">
        <f t="shared" ref="Z39:Z44" ca="1" si="91">SUMIF(lines,$A39,schchoice)</f>
        <v>0</v>
      </c>
      <c r="AA39" s="32">
        <f t="shared" ref="AA39:AA44" ca="1" si="92">SUMIF(lines,$A39,otherreceipts)</f>
        <v>0</v>
      </c>
      <c r="AB39" s="32">
        <f t="shared" ref="AB39:AB45" ca="1" si="93">ROUND(SUM(H39:AA39),0)</f>
        <v>0</v>
      </c>
    </row>
    <row r="40" spans="1:28" ht="12.75" customHeight="1">
      <c r="A40" s="31">
        <v>3429</v>
      </c>
      <c r="B40" s="32" t="s">
        <v>84</v>
      </c>
      <c r="C40" s="33"/>
      <c r="D40" s="33"/>
      <c r="E40" s="33"/>
      <c r="F40" s="33"/>
      <c r="G40" s="32">
        <f t="shared" ca="1" si="74"/>
        <v>0</v>
      </c>
      <c r="H40" s="32">
        <f t="shared" ca="1" si="75"/>
        <v>0</v>
      </c>
      <c r="I40" s="33"/>
      <c r="J40" s="32">
        <f t="shared" ca="1" si="76"/>
        <v>0</v>
      </c>
      <c r="K40" s="32">
        <f t="shared" ca="1" si="77"/>
        <v>0</v>
      </c>
      <c r="L40" s="32">
        <f t="shared" ca="1" si="78"/>
        <v>0</v>
      </c>
      <c r="M40" s="32">
        <f t="shared" ca="1" si="79"/>
        <v>0</v>
      </c>
      <c r="N40" s="32">
        <f t="shared" ca="1" si="80"/>
        <v>0</v>
      </c>
      <c r="O40" s="32">
        <f t="shared" ca="1" si="81"/>
        <v>0</v>
      </c>
      <c r="P40" s="32">
        <f t="shared" ca="1" si="82"/>
        <v>0</v>
      </c>
      <c r="Q40" s="32">
        <f t="shared" ca="1" si="83"/>
        <v>0</v>
      </c>
      <c r="R40" s="32">
        <f t="shared" ca="1" si="84"/>
        <v>0</v>
      </c>
      <c r="S40" s="32">
        <f t="shared" ca="1" si="85"/>
        <v>0</v>
      </c>
      <c r="T40" s="33"/>
      <c r="U40" s="32">
        <f t="shared" ca="1" si="86"/>
        <v>0</v>
      </c>
      <c r="V40" s="32">
        <f t="shared" ca="1" si="87"/>
        <v>0</v>
      </c>
      <c r="W40" s="32">
        <f t="shared" ca="1" si="88"/>
        <v>0</v>
      </c>
      <c r="X40" s="32">
        <f t="shared" ca="1" si="89"/>
        <v>0</v>
      </c>
      <c r="Y40" s="32">
        <f t="shared" ca="1" si="90"/>
        <v>0</v>
      </c>
      <c r="Z40" s="32">
        <f t="shared" ca="1" si="91"/>
        <v>0</v>
      </c>
      <c r="AA40" s="32">
        <f t="shared" ca="1" si="92"/>
        <v>0</v>
      </c>
      <c r="AB40" s="32">
        <f t="shared" ca="1" si="93"/>
        <v>0</v>
      </c>
    </row>
    <row r="41" spans="1:28" ht="12.75" customHeight="1">
      <c r="A41" s="31">
        <v>3430</v>
      </c>
      <c r="B41" s="32" t="s">
        <v>85</v>
      </c>
      <c r="C41" s="33"/>
      <c r="D41" s="33"/>
      <c r="E41" s="33"/>
      <c r="F41" s="33"/>
      <c r="G41" s="32">
        <f t="shared" ca="1" si="74"/>
        <v>0</v>
      </c>
      <c r="H41" s="32">
        <f t="shared" ca="1" si="75"/>
        <v>0</v>
      </c>
      <c r="I41" s="33"/>
      <c r="J41" s="32">
        <f t="shared" ca="1" si="76"/>
        <v>0</v>
      </c>
      <c r="K41" s="32">
        <f t="shared" ca="1" si="77"/>
        <v>0</v>
      </c>
      <c r="L41" s="32">
        <f t="shared" ca="1" si="78"/>
        <v>0</v>
      </c>
      <c r="M41" s="32">
        <f t="shared" ca="1" si="79"/>
        <v>0</v>
      </c>
      <c r="N41" s="32">
        <f t="shared" ca="1" si="80"/>
        <v>0</v>
      </c>
      <c r="O41" s="32">
        <f t="shared" ca="1" si="81"/>
        <v>0</v>
      </c>
      <c r="P41" s="32">
        <f t="shared" ca="1" si="82"/>
        <v>0</v>
      </c>
      <c r="Q41" s="32">
        <f t="shared" ca="1" si="83"/>
        <v>0</v>
      </c>
      <c r="R41" s="32">
        <f t="shared" ca="1" si="84"/>
        <v>0</v>
      </c>
      <c r="S41" s="32">
        <f t="shared" ca="1" si="85"/>
        <v>0</v>
      </c>
      <c r="T41" s="33"/>
      <c r="U41" s="32">
        <f t="shared" ca="1" si="86"/>
        <v>0</v>
      </c>
      <c r="V41" s="32">
        <f t="shared" ca="1" si="87"/>
        <v>0</v>
      </c>
      <c r="W41" s="32">
        <f t="shared" ca="1" si="88"/>
        <v>0</v>
      </c>
      <c r="X41" s="32">
        <f t="shared" ca="1" si="89"/>
        <v>0</v>
      </c>
      <c r="Y41" s="32">
        <f t="shared" ca="1" si="90"/>
        <v>0</v>
      </c>
      <c r="Z41" s="32">
        <f t="shared" ca="1" si="91"/>
        <v>0</v>
      </c>
      <c r="AA41" s="32">
        <f t="shared" ca="1" si="92"/>
        <v>0</v>
      </c>
      <c r="AB41" s="32">
        <f t="shared" ca="1" si="93"/>
        <v>0</v>
      </c>
    </row>
    <row r="42" spans="1:28" ht="12.75" customHeight="1">
      <c r="A42" s="31">
        <v>3431</v>
      </c>
      <c r="B42" s="32" t="s">
        <v>86</v>
      </c>
      <c r="C42" s="33"/>
      <c r="D42" s="33"/>
      <c r="E42" s="33"/>
      <c r="F42" s="33"/>
      <c r="G42" s="32">
        <f t="shared" ca="1" si="74"/>
        <v>0</v>
      </c>
      <c r="H42" s="32">
        <f t="shared" ca="1" si="75"/>
        <v>0</v>
      </c>
      <c r="I42" s="33"/>
      <c r="J42" s="32">
        <f t="shared" ca="1" si="76"/>
        <v>0</v>
      </c>
      <c r="K42" s="32">
        <f t="shared" ca="1" si="77"/>
        <v>0</v>
      </c>
      <c r="L42" s="32">
        <f t="shared" ca="1" si="78"/>
        <v>0</v>
      </c>
      <c r="M42" s="32">
        <f t="shared" ca="1" si="79"/>
        <v>0</v>
      </c>
      <c r="N42" s="32">
        <f t="shared" ca="1" si="80"/>
        <v>0</v>
      </c>
      <c r="O42" s="32">
        <f t="shared" ca="1" si="81"/>
        <v>0</v>
      </c>
      <c r="P42" s="32">
        <f t="shared" ca="1" si="82"/>
        <v>0</v>
      </c>
      <c r="Q42" s="32">
        <f t="shared" ca="1" si="83"/>
        <v>0</v>
      </c>
      <c r="R42" s="32">
        <f t="shared" ca="1" si="84"/>
        <v>0</v>
      </c>
      <c r="S42" s="32">
        <f t="shared" ca="1" si="85"/>
        <v>0</v>
      </c>
      <c r="T42" s="33"/>
      <c r="U42" s="32">
        <f t="shared" ca="1" si="86"/>
        <v>0</v>
      </c>
      <c r="V42" s="32">
        <f t="shared" ca="1" si="87"/>
        <v>0</v>
      </c>
      <c r="W42" s="32">
        <f t="shared" ca="1" si="88"/>
        <v>0</v>
      </c>
      <c r="X42" s="32">
        <f t="shared" ca="1" si="89"/>
        <v>0</v>
      </c>
      <c r="Y42" s="32">
        <f t="shared" ca="1" si="90"/>
        <v>0</v>
      </c>
      <c r="Z42" s="32">
        <f t="shared" ca="1" si="91"/>
        <v>0</v>
      </c>
      <c r="AA42" s="32">
        <f t="shared" ca="1" si="92"/>
        <v>0</v>
      </c>
      <c r="AB42" s="32">
        <f t="shared" ca="1" si="93"/>
        <v>0</v>
      </c>
    </row>
    <row r="43" spans="1:28" ht="12.75" customHeight="1">
      <c r="A43" s="31">
        <v>3432</v>
      </c>
      <c r="B43" s="32" t="s">
        <v>87</v>
      </c>
      <c r="C43" s="33"/>
      <c r="D43" s="33"/>
      <c r="E43" s="33"/>
      <c r="F43" s="33"/>
      <c r="G43" s="32">
        <f t="shared" ca="1" si="74"/>
        <v>0</v>
      </c>
      <c r="H43" s="32">
        <f t="shared" ca="1" si="75"/>
        <v>0</v>
      </c>
      <c r="I43" s="33"/>
      <c r="J43" s="32">
        <f t="shared" ca="1" si="76"/>
        <v>0</v>
      </c>
      <c r="K43" s="32">
        <f t="shared" ca="1" si="77"/>
        <v>0</v>
      </c>
      <c r="L43" s="32">
        <f t="shared" ca="1" si="78"/>
        <v>0</v>
      </c>
      <c r="M43" s="32">
        <f t="shared" ca="1" si="79"/>
        <v>0</v>
      </c>
      <c r="N43" s="32">
        <f t="shared" ca="1" si="80"/>
        <v>0</v>
      </c>
      <c r="O43" s="32">
        <f t="shared" ca="1" si="81"/>
        <v>0</v>
      </c>
      <c r="P43" s="32">
        <f t="shared" ca="1" si="82"/>
        <v>0</v>
      </c>
      <c r="Q43" s="32">
        <f t="shared" ca="1" si="83"/>
        <v>0</v>
      </c>
      <c r="R43" s="32">
        <f t="shared" ca="1" si="84"/>
        <v>0</v>
      </c>
      <c r="S43" s="32">
        <f t="shared" ca="1" si="85"/>
        <v>0</v>
      </c>
      <c r="T43" s="33"/>
      <c r="U43" s="32">
        <f t="shared" ca="1" si="86"/>
        <v>0</v>
      </c>
      <c r="V43" s="32">
        <f t="shared" ca="1" si="87"/>
        <v>0</v>
      </c>
      <c r="W43" s="32">
        <f t="shared" ca="1" si="88"/>
        <v>0</v>
      </c>
      <c r="X43" s="32">
        <f t="shared" ca="1" si="89"/>
        <v>0</v>
      </c>
      <c r="Y43" s="32">
        <f t="shared" ca="1" si="90"/>
        <v>0</v>
      </c>
      <c r="Z43" s="32">
        <f t="shared" ca="1" si="91"/>
        <v>0</v>
      </c>
      <c r="AA43" s="32">
        <f t="shared" ca="1" si="92"/>
        <v>0</v>
      </c>
      <c r="AB43" s="32">
        <f t="shared" ca="1" si="93"/>
        <v>0</v>
      </c>
    </row>
    <row r="44" spans="1:28" ht="12.75" customHeight="1">
      <c r="A44" s="31">
        <v>3433</v>
      </c>
      <c r="B44" s="32" t="s">
        <v>88</v>
      </c>
      <c r="C44" s="33"/>
      <c r="D44" s="33"/>
      <c r="E44" s="33"/>
      <c r="F44" s="33"/>
      <c r="G44" s="32">
        <f t="shared" ca="1" si="74"/>
        <v>0</v>
      </c>
      <c r="H44" s="32">
        <f t="shared" ca="1" si="75"/>
        <v>0</v>
      </c>
      <c r="I44" s="33"/>
      <c r="J44" s="32">
        <f t="shared" ca="1" si="76"/>
        <v>0</v>
      </c>
      <c r="K44" s="32">
        <f t="shared" ca="1" si="77"/>
        <v>0</v>
      </c>
      <c r="L44" s="32">
        <f t="shared" ca="1" si="78"/>
        <v>0</v>
      </c>
      <c r="M44" s="32">
        <f t="shared" ca="1" si="79"/>
        <v>0</v>
      </c>
      <c r="N44" s="32">
        <f t="shared" ca="1" si="80"/>
        <v>0</v>
      </c>
      <c r="O44" s="32">
        <f t="shared" ca="1" si="81"/>
        <v>0</v>
      </c>
      <c r="P44" s="32">
        <f t="shared" ca="1" si="82"/>
        <v>0</v>
      </c>
      <c r="Q44" s="32">
        <f t="shared" ca="1" si="83"/>
        <v>0</v>
      </c>
      <c r="R44" s="32">
        <f t="shared" ca="1" si="84"/>
        <v>0</v>
      </c>
      <c r="S44" s="32">
        <f t="shared" ca="1" si="85"/>
        <v>0</v>
      </c>
      <c r="T44" s="33"/>
      <c r="U44" s="32">
        <f t="shared" ca="1" si="86"/>
        <v>0</v>
      </c>
      <c r="V44" s="32">
        <f t="shared" ca="1" si="87"/>
        <v>0</v>
      </c>
      <c r="W44" s="32">
        <f t="shared" ca="1" si="88"/>
        <v>0</v>
      </c>
      <c r="X44" s="32">
        <f t="shared" ca="1" si="89"/>
        <v>0</v>
      </c>
      <c r="Y44" s="32">
        <f t="shared" ca="1" si="90"/>
        <v>0</v>
      </c>
      <c r="Z44" s="32">
        <f t="shared" ca="1" si="91"/>
        <v>0</v>
      </c>
      <c r="AA44" s="32">
        <f t="shared" ca="1" si="92"/>
        <v>0</v>
      </c>
      <c r="AB44" s="32">
        <f t="shared" ca="1" si="93"/>
        <v>0</v>
      </c>
    </row>
    <row r="45" spans="1:28" ht="12.75" customHeight="1">
      <c r="A45" s="31">
        <v>3434</v>
      </c>
      <c r="B45" s="34" t="s">
        <v>89</v>
      </c>
      <c r="C45" s="33"/>
      <c r="D45" s="33"/>
      <c r="E45" s="33"/>
      <c r="F45" s="33"/>
      <c r="G45" s="32">
        <f ca="1">ROUND(SUM(G39:G44),0)</f>
        <v>0</v>
      </c>
      <c r="H45" s="32">
        <f ca="1">ROUND(SUM(G45),0)</f>
        <v>0</v>
      </c>
      <c r="I45" s="33"/>
      <c r="J45" s="32">
        <f t="shared" ref="J45:P45" ca="1" si="94">ROUND(SUM(J39:J44),0)</f>
        <v>0</v>
      </c>
      <c r="K45" s="32">
        <f t="shared" ca="1" si="94"/>
        <v>0</v>
      </c>
      <c r="L45" s="32">
        <f t="shared" ca="1" si="94"/>
        <v>0</v>
      </c>
      <c r="M45" s="32">
        <f t="shared" ca="1" si="94"/>
        <v>0</v>
      </c>
      <c r="N45" s="32">
        <f t="shared" ca="1" si="94"/>
        <v>0</v>
      </c>
      <c r="O45" s="32">
        <f t="shared" ca="1" si="94"/>
        <v>0</v>
      </c>
      <c r="P45" s="32">
        <f t="shared" ca="1" si="94"/>
        <v>0</v>
      </c>
      <c r="Q45" s="32">
        <f ca="1">ROUND(SUM(Q39:Q44),0)</f>
        <v>0</v>
      </c>
      <c r="R45" s="32">
        <f t="shared" ref="R45:AA45" ca="1" si="95">ROUND(SUM(R39:R44),0)</f>
        <v>0</v>
      </c>
      <c r="S45" s="32">
        <f ca="1">ROUND(SUM(S39:S44),0)</f>
        <v>0</v>
      </c>
      <c r="T45" s="33"/>
      <c r="U45" s="32">
        <f t="shared" ca="1" si="95"/>
        <v>0</v>
      </c>
      <c r="V45" s="32">
        <f t="shared" ca="1" si="95"/>
        <v>0</v>
      </c>
      <c r="W45" s="32">
        <f ca="1">ROUND(SUM(W39:W44),0)</f>
        <v>0</v>
      </c>
      <c r="X45" s="32">
        <f t="shared" ca="1" si="95"/>
        <v>0</v>
      </c>
      <c r="Y45" s="32">
        <f t="shared" ca="1" si="95"/>
        <v>0</v>
      </c>
      <c r="Z45" s="32">
        <f t="shared" ca="1" si="95"/>
        <v>0</v>
      </c>
      <c r="AA45" s="32">
        <f t="shared" ca="1" si="95"/>
        <v>0</v>
      </c>
      <c r="AB45" s="32">
        <f t="shared" ca="1" si="93"/>
        <v>0</v>
      </c>
    </row>
    <row r="46" spans="1:28" ht="12.75" customHeight="1">
      <c r="A46" s="35"/>
      <c r="B46" s="120" t="s">
        <v>104</v>
      </c>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row>
    <row r="47" spans="1:28" ht="12.75" customHeight="1">
      <c r="A47" s="31">
        <v>3444</v>
      </c>
      <c r="B47" s="32" t="s">
        <v>86</v>
      </c>
      <c r="C47" s="32">
        <f ca="1">SUMIF(lines,$A47,day)</f>
        <v>0</v>
      </c>
      <c r="D47" s="32">
        <f ca="1">SUMIF(lines,$A47,special)</f>
        <v>0</v>
      </c>
      <c r="E47" s="32">
        <f ca="1">SUMIF(lines,$A47,occday)</f>
        <v>0</v>
      </c>
      <c r="F47" s="32">
        <f ca="1">SUMIF(lines,$A47,other)</f>
        <v>0</v>
      </c>
      <c r="G47" s="33"/>
      <c r="H47" s="32">
        <f ca="1">ROUND(SUM(C47:F47),0)</f>
        <v>0</v>
      </c>
      <c r="I47" s="33"/>
      <c r="J47" s="32">
        <f ca="1">SUMIF(lines,$A47,TitleI)</f>
        <v>0</v>
      </c>
      <c r="K47" s="32">
        <f ca="1">SUMIF(lines,$A47,IDEA)</f>
        <v>0</v>
      </c>
      <c r="L47" s="32">
        <f ca="1">SUMIF(lines,$A47,ESSERI)</f>
        <v>0</v>
      </c>
      <c r="M47" s="32">
        <f ca="1">SUMIF(lines,$A47,ESSERII)</f>
        <v>0</v>
      </c>
      <c r="N47" s="32">
        <f ca="1">SUMIF(lines,$A47,ESSERIII)</f>
        <v>0</v>
      </c>
      <c r="O47" s="32">
        <f ca="1">SUMIF(lines,$A47,ESSERG)</f>
        <v>0</v>
      </c>
      <c r="P47" s="32">
        <f ca="1">SUMIF(lines,$A47,GEER)</f>
        <v>0</v>
      </c>
      <c r="Q47" s="32">
        <f ca="1">SUMIF(lines,$A47,doefed)</f>
        <v>0</v>
      </c>
      <c r="R47" s="32">
        <f ca="1">SUMIF(lines,$A47,adultfed)</f>
        <v>0</v>
      </c>
      <c r="S47" s="32">
        <f ca="1">SUMIF(lines,$A47,otherfed)</f>
        <v>0</v>
      </c>
      <c r="T47" s="33"/>
      <c r="U47" s="32">
        <f ca="1">SUMIF(lines,$A47,doestate)</f>
        <v>0</v>
      </c>
      <c r="V47" s="32">
        <f ca="1">SUMIF(lines,$A47,adultstate)</f>
        <v>0</v>
      </c>
      <c r="W47" s="32">
        <f ca="1">SUMIF(lines,$A47,otherstate)</f>
        <v>0</v>
      </c>
      <c r="X47" s="32">
        <f ca="1">SUMIF(lines,$A47,circuitbreaker)</f>
        <v>0</v>
      </c>
      <c r="Y47" s="32">
        <f ca="1">SUMIF(lines,$A47,private)</f>
        <v>0</v>
      </c>
      <c r="Z47" s="32">
        <f ca="1">SUMIF(lines,$A47,schchoice)</f>
        <v>0</v>
      </c>
      <c r="AA47" s="32">
        <f ca="1">SUMIF(lines,$A47,otherreceipts)</f>
        <v>0</v>
      </c>
      <c r="AB47" s="32">
        <f ca="1">ROUND(SUM(H47:AA47),0)</f>
        <v>0</v>
      </c>
    </row>
    <row r="48" spans="1:28" ht="12.75" customHeight="1">
      <c r="A48" s="31">
        <v>3445</v>
      </c>
      <c r="B48" s="32" t="s">
        <v>87</v>
      </c>
      <c r="C48" s="32">
        <f ca="1">SUMIF(lines,$A48,day)</f>
        <v>0</v>
      </c>
      <c r="D48" s="32">
        <f ca="1">SUMIF(lines,$A48,special)</f>
        <v>0</v>
      </c>
      <c r="E48" s="32">
        <f ca="1">SUMIF(lines,$A48,occday)</f>
        <v>0</v>
      </c>
      <c r="F48" s="32">
        <f ca="1">SUMIF(lines,$A48,other)</f>
        <v>0</v>
      </c>
      <c r="G48" s="33"/>
      <c r="H48" s="32">
        <f ca="1">ROUND(SUM(C48:F48),0)</f>
        <v>0</v>
      </c>
      <c r="I48" s="33"/>
      <c r="J48" s="32">
        <f ca="1">SUMIF(lines,$A48,TitleI)</f>
        <v>0</v>
      </c>
      <c r="K48" s="32">
        <f ca="1">SUMIF(lines,$A48,IDEA)</f>
        <v>0</v>
      </c>
      <c r="L48" s="32">
        <f ca="1">SUMIF(lines,$A48,ESSERI)</f>
        <v>0</v>
      </c>
      <c r="M48" s="32">
        <f ca="1">SUMIF(lines,$A48,ESSERII)</f>
        <v>0</v>
      </c>
      <c r="N48" s="32">
        <f ca="1">SUMIF(lines,$A48,ESSERIII)</f>
        <v>0</v>
      </c>
      <c r="O48" s="32">
        <f ca="1">SUMIF(lines,$A48,ESSERG)</f>
        <v>0</v>
      </c>
      <c r="P48" s="32">
        <f ca="1">SUMIF(lines,$A48,GEER)</f>
        <v>0</v>
      </c>
      <c r="Q48" s="32">
        <f ca="1">SUMIF(lines,$A48,doefed)</f>
        <v>0</v>
      </c>
      <c r="R48" s="32">
        <f ca="1">SUMIF(lines,$A48,adultfed)</f>
        <v>0</v>
      </c>
      <c r="S48" s="32">
        <f ca="1">SUMIF(lines,$A48,otherfed)</f>
        <v>0</v>
      </c>
      <c r="T48" s="33"/>
      <c r="U48" s="32">
        <f ca="1">SUMIF(lines,$A48,doestate)</f>
        <v>0</v>
      </c>
      <c r="V48" s="32">
        <f ca="1">SUMIF(lines,$A48,adultstate)</f>
        <v>0</v>
      </c>
      <c r="W48" s="32">
        <f ca="1">SUMIF(lines,$A48,otherstate)</f>
        <v>0</v>
      </c>
      <c r="X48" s="32">
        <f ca="1">SUMIF(lines,$A48,circuitbreaker)</f>
        <v>0</v>
      </c>
      <c r="Y48" s="32">
        <f ca="1">SUMIF(lines,$A48,private)</f>
        <v>0</v>
      </c>
      <c r="Z48" s="32">
        <f ca="1">SUMIF(lines,$A48,schchoice)</f>
        <v>0</v>
      </c>
      <c r="AA48" s="32">
        <f ca="1">SUMIF(lines,$A48,otherreceipts)</f>
        <v>0</v>
      </c>
      <c r="AB48" s="32">
        <f ca="1">ROUND(SUM(H48:AA48),0)</f>
        <v>0</v>
      </c>
    </row>
    <row r="49" spans="1:28" ht="12.75" customHeight="1">
      <c r="A49" s="31">
        <v>3446</v>
      </c>
      <c r="B49" s="32" t="s">
        <v>88</v>
      </c>
      <c r="C49" s="32">
        <f ca="1">SUMIF(lines,$A49,day)</f>
        <v>0</v>
      </c>
      <c r="D49" s="32">
        <f ca="1">SUMIF(lines,$A49,special)</f>
        <v>0</v>
      </c>
      <c r="E49" s="32">
        <f ca="1">SUMIF(lines,$A49,occday)</f>
        <v>0</v>
      </c>
      <c r="F49" s="32">
        <f ca="1">SUMIF(lines,$A49,other)</f>
        <v>0</v>
      </c>
      <c r="G49" s="33"/>
      <c r="H49" s="32">
        <f ca="1">ROUND(SUM(C49:F49),0)</f>
        <v>0</v>
      </c>
      <c r="I49" s="33"/>
      <c r="J49" s="32">
        <f ca="1">SUMIF(lines,$A49,TitleI)</f>
        <v>0</v>
      </c>
      <c r="K49" s="32">
        <f ca="1">SUMIF(lines,$A49,IDEA)</f>
        <v>0</v>
      </c>
      <c r="L49" s="32">
        <f ca="1">SUMIF(lines,$A49,ESSERI)</f>
        <v>0</v>
      </c>
      <c r="M49" s="32">
        <f ca="1">SUMIF(lines,$A49,ESSERII)</f>
        <v>0</v>
      </c>
      <c r="N49" s="32">
        <f ca="1">SUMIF(lines,$A49,ESSERIII)</f>
        <v>0</v>
      </c>
      <c r="O49" s="32">
        <f ca="1">SUMIF(lines,$A49,ESSERG)</f>
        <v>0</v>
      </c>
      <c r="P49" s="32">
        <f ca="1">SUMIF(lines,$A49,GEER)</f>
        <v>0</v>
      </c>
      <c r="Q49" s="32">
        <f ca="1">SUMIF(lines,$A49,doefed)</f>
        <v>0</v>
      </c>
      <c r="R49" s="32">
        <f ca="1">SUMIF(lines,$A49,adultfed)</f>
        <v>0</v>
      </c>
      <c r="S49" s="32">
        <f ca="1">SUMIF(lines,$A49,otherfed)</f>
        <v>0</v>
      </c>
      <c r="T49" s="33"/>
      <c r="U49" s="32">
        <f ca="1">SUMIF(lines,$A49,doestate)</f>
        <v>0</v>
      </c>
      <c r="V49" s="32">
        <f ca="1">SUMIF(lines,$A49,adultstate)</f>
        <v>0</v>
      </c>
      <c r="W49" s="32">
        <f ca="1">SUMIF(lines,$A49,otherstate)</f>
        <v>0</v>
      </c>
      <c r="X49" s="32">
        <f ca="1">SUMIF(lines,$A49,circuitbreaker)</f>
        <v>0</v>
      </c>
      <c r="Y49" s="32">
        <f ca="1">SUMIF(lines,$A49,private)</f>
        <v>0</v>
      </c>
      <c r="Z49" s="32">
        <f ca="1">SUMIF(lines,$A49,schchoice)</f>
        <v>0</v>
      </c>
      <c r="AA49" s="32">
        <f ca="1">SUMIF(lines,$A49,otherreceipts)</f>
        <v>0</v>
      </c>
      <c r="AB49" s="32">
        <f ca="1">ROUND(SUM(H49:AA49),0)</f>
        <v>0</v>
      </c>
    </row>
    <row r="50" spans="1:28" ht="12.75" customHeight="1">
      <c r="A50" s="31">
        <v>3449</v>
      </c>
      <c r="B50" s="34" t="s">
        <v>89</v>
      </c>
      <c r="C50" s="32">
        <f ca="1">ROUND(SUM(C47:C49),0)</f>
        <v>0</v>
      </c>
      <c r="D50" s="32">
        <f ca="1">ROUND(SUM(D47:D49),0)</f>
        <v>0</v>
      </c>
      <c r="E50" s="32">
        <f ca="1">ROUND(SUM(E47:E49),0)</f>
        <v>0</v>
      </c>
      <c r="F50" s="32">
        <f ca="1">ROUND(SUM(F47:F49),0)</f>
        <v>0</v>
      </c>
      <c r="G50" s="33"/>
      <c r="H50" s="32">
        <f ca="1">ROUND(SUM(C50:F50),0)</f>
        <v>0</v>
      </c>
      <c r="I50" s="33"/>
      <c r="J50" s="32">
        <f t="shared" ref="J50:AA50" ca="1" si="96">ROUND(SUM(J47:J49),0)</f>
        <v>0</v>
      </c>
      <c r="K50" s="32">
        <f t="shared" ca="1" si="96"/>
        <v>0</v>
      </c>
      <c r="L50" s="32">
        <f t="shared" ca="1" si="96"/>
        <v>0</v>
      </c>
      <c r="M50" s="32">
        <f t="shared" ca="1" si="96"/>
        <v>0</v>
      </c>
      <c r="N50" s="32">
        <f t="shared" ca="1" si="96"/>
        <v>0</v>
      </c>
      <c r="O50" s="32">
        <f t="shared" ca="1" si="96"/>
        <v>0</v>
      </c>
      <c r="P50" s="32">
        <f ca="1">ROUND(SUM(P47:P49),0)</f>
        <v>0</v>
      </c>
      <c r="Q50" s="32">
        <f t="shared" ca="1" si="96"/>
        <v>0</v>
      </c>
      <c r="R50" s="32">
        <f t="shared" ca="1" si="96"/>
        <v>0</v>
      </c>
      <c r="S50" s="32">
        <f ca="1">ROUND(SUM(S47:S49),0)</f>
        <v>0</v>
      </c>
      <c r="T50" s="33"/>
      <c r="U50" s="32">
        <f t="shared" ca="1" si="96"/>
        <v>0</v>
      </c>
      <c r="V50" s="32">
        <f t="shared" ca="1" si="96"/>
        <v>0</v>
      </c>
      <c r="W50" s="32">
        <f ca="1">ROUND(SUM(W47:W49),0)</f>
        <v>0</v>
      </c>
      <c r="X50" s="32">
        <f t="shared" ca="1" si="96"/>
        <v>0</v>
      </c>
      <c r="Y50" s="32">
        <f t="shared" ca="1" si="96"/>
        <v>0</v>
      </c>
      <c r="Z50" s="32">
        <f t="shared" ca="1" si="96"/>
        <v>0</v>
      </c>
      <c r="AA50" s="32">
        <f t="shared" ca="1" si="96"/>
        <v>0</v>
      </c>
      <c r="AB50" s="32">
        <f ca="1">ROUND(SUM(H50:AA50),0)</f>
        <v>0</v>
      </c>
    </row>
    <row r="51" spans="1:28" ht="12.75" customHeight="1">
      <c r="A51" s="35"/>
      <c r="B51" s="120" t="s">
        <v>105</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row>
    <row r="52" spans="1:28" ht="12.75" customHeight="1">
      <c r="A52" s="31">
        <v>3450</v>
      </c>
      <c r="B52" s="32" t="s">
        <v>91</v>
      </c>
      <c r="C52" s="32">
        <f ca="1">SUMIF(lines,$A52,day)</f>
        <v>7778201.3600000003</v>
      </c>
      <c r="D52" s="32">
        <f ca="1">SUMIF(lines,$A52,special)</f>
        <v>2082829.1</v>
      </c>
      <c r="E52" s="32">
        <f ca="1">SUMIF(lines,$A52,occday)</f>
        <v>0</v>
      </c>
      <c r="F52" s="32">
        <f ca="1">SUMIF(lines,$A52,other)</f>
        <v>0</v>
      </c>
      <c r="G52" s="33"/>
      <c r="H52" s="32">
        <f ca="1">ROUND(SUM(C52:F52),0)</f>
        <v>9861030</v>
      </c>
      <c r="I52" s="33"/>
      <c r="J52" s="32">
        <f ca="1">SUMIF(lines,$A52,TitleI)</f>
        <v>0</v>
      </c>
      <c r="K52" s="32">
        <f ca="1">SUMIF(lines,$A52,IDEA)</f>
        <v>0</v>
      </c>
      <c r="L52" s="32">
        <f ca="1">SUMIF(lines,$A52,ESSERI)</f>
        <v>0</v>
      </c>
      <c r="M52" s="32">
        <f ca="1">SUMIF(lines,$A52,ESSERII)</f>
        <v>0</v>
      </c>
      <c r="N52" s="32">
        <f ca="1">SUMIF(lines,$A52,ESSERIII)</f>
        <v>0</v>
      </c>
      <c r="O52" s="32">
        <f ca="1">SUMIF(lines,$A52,ESSERG)</f>
        <v>0</v>
      </c>
      <c r="P52" s="32">
        <f ca="1">SUMIF(lines,$A52,GEER)</f>
        <v>0</v>
      </c>
      <c r="Q52" s="32">
        <f ca="1">SUMIF(lines,$A52,doefed)</f>
        <v>0</v>
      </c>
      <c r="R52" s="32">
        <f ca="1">SUMIF(lines,$A52,adultfed)</f>
        <v>0</v>
      </c>
      <c r="S52" s="32">
        <f ca="1">SUMIF(lines,$A52,otherfed)</f>
        <v>0</v>
      </c>
      <c r="T52" s="33"/>
      <c r="U52" s="32">
        <f ca="1">SUMIF(lines,$A52,doestate)</f>
        <v>0</v>
      </c>
      <c r="V52" s="32">
        <f ca="1">SUMIF(lines,$A52,adultstate)</f>
        <v>0</v>
      </c>
      <c r="W52" s="32">
        <f ca="1">SUMIF(lines,$A52,otherstate)</f>
        <v>0</v>
      </c>
      <c r="X52" s="32">
        <f ca="1">SUMIF(lines,$A52,circuitbreaker)</f>
        <v>0</v>
      </c>
      <c r="Y52" s="32">
        <f ca="1">SUMIF(lines,$A52,private)</f>
        <v>0</v>
      </c>
      <c r="Z52" s="32">
        <f ca="1">SUMIF(lines,$A52,schchoice)</f>
        <v>0</v>
      </c>
      <c r="AA52" s="32">
        <f ca="1">SUMIF(lines,$A52,otherreceipts)</f>
        <v>0</v>
      </c>
      <c r="AB52" s="32">
        <f ca="1">ROUND(SUM(H52:AA52),0)</f>
        <v>9861030</v>
      </c>
    </row>
    <row r="53" spans="1:28" ht="12.75" customHeight="1">
      <c r="A53" s="35"/>
      <c r="B53" s="120" t="s">
        <v>106</v>
      </c>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row>
    <row r="54" spans="1:28" ht="12.75" customHeight="1">
      <c r="A54" s="31">
        <v>3452</v>
      </c>
      <c r="B54" s="32" t="s">
        <v>91</v>
      </c>
      <c r="C54" s="32">
        <f t="shared" ref="C54:C59" ca="1" si="97">SUMIF(lines,$A54,day)</f>
        <v>0</v>
      </c>
      <c r="D54" s="32">
        <f t="shared" ref="D54:D59" ca="1" si="98">SUMIF(lines,$A54,special)</f>
        <v>623927.54</v>
      </c>
      <c r="E54" s="32">
        <f t="shared" ref="E54:E59" ca="1" si="99">SUMIF(lines,$A54,occday)</f>
        <v>0</v>
      </c>
      <c r="F54" s="32">
        <f t="shared" ref="F54:F59" ca="1" si="100">SUMIF(lines,$A54,other)</f>
        <v>0</v>
      </c>
      <c r="G54" s="33"/>
      <c r="H54" s="32">
        <f t="shared" ref="H54:H60" ca="1" si="101">ROUND(SUM(C54:F54),0)</f>
        <v>623928</v>
      </c>
      <c r="I54" s="33"/>
      <c r="J54" s="32">
        <f t="shared" ref="J54:J59" ca="1" si="102">SUMIF(lines,$A54,TitleI)</f>
        <v>0</v>
      </c>
      <c r="K54" s="32">
        <f t="shared" ref="K54:K59" ca="1" si="103">SUMIF(lines,$A54,IDEA)</f>
        <v>0</v>
      </c>
      <c r="L54" s="32">
        <f t="shared" ref="L54:L59" ca="1" si="104">SUMIF(lines,$A54,ESSERI)</f>
        <v>0</v>
      </c>
      <c r="M54" s="32">
        <f t="shared" ref="M54:M59" ca="1" si="105">SUMIF(lines,$A54,ESSERII)</f>
        <v>0</v>
      </c>
      <c r="N54" s="32">
        <f t="shared" ref="N54:N59" ca="1" si="106">SUMIF(lines,$A54,ESSERIII)</f>
        <v>0</v>
      </c>
      <c r="O54" s="32">
        <f t="shared" ref="O54:O59" ca="1" si="107">SUMIF(lines,$A54,ESSERG)</f>
        <v>0</v>
      </c>
      <c r="P54" s="32">
        <f t="shared" ref="P54:P59" ca="1" si="108">SUMIF(lines,$A54,GEER)</f>
        <v>0</v>
      </c>
      <c r="Q54" s="32">
        <f t="shared" ref="Q54:Q59" ca="1" si="109">SUMIF(lines,$A54,doefed)</f>
        <v>0</v>
      </c>
      <c r="R54" s="32">
        <f t="shared" ref="R54:R59" ca="1" si="110">SUMIF(lines,$A54,adultfed)</f>
        <v>0</v>
      </c>
      <c r="S54" s="32">
        <f t="shared" ref="S54:S59" ca="1" si="111">SUMIF(lines,$A54,otherfed)</f>
        <v>0</v>
      </c>
      <c r="T54" s="33"/>
      <c r="U54" s="32">
        <f t="shared" ref="U54:U59" ca="1" si="112">SUMIF(lines,$A54,doestate)</f>
        <v>0</v>
      </c>
      <c r="V54" s="32">
        <f t="shared" ref="V54:V59" ca="1" si="113">SUMIF(lines,$A54,adultstate)</f>
        <v>0</v>
      </c>
      <c r="W54" s="32">
        <f t="shared" ref="W54:W59" ca="1" si="114">SUMIF(lines,$A54,otherstate)</f>
        <v>0</v>
      </c>
      <c r="X54" s="32">
        <f t="shared" ref="X54:X59" ca="1" si="115">SUMIF(lines,$A54,circuitbreaker)</f>
        <v>0</v>
      </c>
      <c r="Y54" s="32">
        <f t="shared" ref="Y54:Y59" ca="1" si="116">SUMIF(lines,$A54,private)</f>
        <v>0</v>
      </c>
      <c r="Z54" s="32">
        <f t="shared" ref="Z54:Z59" ca="1" si="117">SUMIF(lines,$A54,schchoice)</f>
        <v>0</v>
      </c>
      <c r="AA54" s="32">
        <f t="shared" ref="AA54:AA59" ca="1" si="118">SUMIF(lines,$A54,otherreceipts)</f>
        <v>0</v>
      </c>
      <c r="AB54" s="32">
        <f t="shared" ref="AB54:AB60" ca="1" si="119">ROUND(SUM(H54:AA54),0)</f>
        <v>623928</v>
      </c>
    </row>
    <row r="55" spans="1:28" ht="12.75" customHeight="1">
      <c r="A55" s="31">
        <v>3453</v>
      </c>
      <c r="B55" s="32" t="s">
        <v>84</v>
      </c>
      <c r="C55" s="32">
        <f t="shared" ca="1" si="97"/>
        <v>0</v>
      </c>
      <c r="D55" s="32">
        <f t="shared" ca="1" si="98"/>
        <v>0</v>
      </c>
      <c r="E55" s="32">
        <f t="shared" ca="1" si="99"/>
        <v>0</v>
      </c>
      <c r="F55" s="32">
        <f t="shared" ca="1" si="100"/>
        <v>0</v>
      </c>
      <c r="G55" s="33"/>
      <c r="H55" s="32">
        <f t="shared" ca="1" si="101"/>
        <v>0</v>
      </c>
      <c r="I55" s="33"/>
      <c r="J55" s="32">
        <f t="shared" ca="1" si="102"/>
        <v>0</v>
      </c>
      <c r="K55" s="32">
        <f t="shared" ca="1" si="103"/>
        <v>0</v>
      </c>
      <c r="L55" s="32">
        <f t="shared" ca="1" si="104"/>
        <v>0</v>
      </c>
      <c r="M55" s="32">
        <f t="shared" ca="1" si="105"/>
        <v>0</v>
      </c>
      <c r="N55" s="32">
        <f t="shared" ca="1" si="106"/>
        <v>0</v>
      </c>
      <c r="O55" s="32">
        <f t="shared" ca="1" si="107"/>
        <v>0</v>
      </c>
      <c r="P55" s="32">
        <f t="shared" ca="1" si="108"/>
        <v>0</v>
      </c>
      <c r="Q55" s="32">
        <f t="shared" ca="1" si="109"/>
        <v>0</v>
      </c>
      <c r="R55" s="32">
        <f t="shared" ca="1" si="110"/>
        <v>0</v>
      </c>
      <c r="S55" s="32">
        <f t="shared" ca="1" si="111"/>
        <v>0</v>
      </c>
      <c r="T55" s="33"/>
      <c r="U55" s="32">
        <f t="shared" ca="1" si="112"/>
        <v>0</v>
      </c>
      <c r="V55" s="32">
        <f t="shared" ca="1" si="113"/>
        <v>0</v>
      </c>
      <c r="W55" s="32">
        <f t="shared" ca="1" si="114"/>
        <v>0</v>
      </c>
      <c r="X55" s="32">
        <f t="shared" ca="1" si="115"/>
        <v>0</v>
      </c>
      <c r="Y55" s="32">
        <f t="shared" ca="1" si="116"/>
        <v>0</v>
      </c>
      <c r="Z55" s="32">
        <f t="shared" ca="1" si="117"/>
        <v>0</v>
      </c>
      <c r="AA55" s="32">
        <f t="shared" ca="1" si="118"/>
        <v>0</v>
      </c>
      <c r="AB55" s="32">
        <f t="shared" ca="1" si="119"/>
        <v>0</v>
      </c>
    </row>
    <row r="56" spans="1:28" ht="12.75" customHeight="1">
      <c r="A56" s="31">
        <v>3454</v>
      </c>
      <c r="B56" s="32" t="s">
        <v>85</v>
      </c>
      <c r="C56" s="32">
        <f t="shared" ca="1" si="97"/>
        <v>0</v>
      </c>
      <c r="D56" s="32">
        <f t="shared" ca="1" si="98"/>
        <v>0</v>
      </c>
      <c r="E56" s="32">
        <f t="shared" ca="1" si="99"/>
        <v>0</v>
      </c>
      <c r="F56" s="32">
        <f t="shared" ca="1" si="100"/>
        <v>0</v>
      </c>
      <c r="G56" s="33"/>
      <c r="H56" s="32">
        <f t="shared" ca="1" si="101"/>
        <v>0</v>
      </c>
      <c r="I56" s="33"/>
      <c r="J56" s="32">
        <f t="shared" ca="1" si="102"/>
        <v>0</v>
      </c>
      <c r="K56" s="32">
        <f t="shared" ca="1" si="103"/>
        <v>0</v>
      </c>
      <c r="L56" s="32">
        <f t="shared" ca="1" si="104"/>
        <v>0</v>
      </c>
      <c r="M56" s="32">
        <f t="shared" ca="1" si="105"/>
        <v>0</v>
      </c>
      <c r="N56" s="32">
        <f t="shared" ca="1" si="106"/>
        <v>0</v>
      </c>
      <c r="O56" s="32">
        <f t="shared" ca="1" si="107"/>
        <v>0</v>
      </c>
      <c r="P56" s="32">
        <f t="shared" ca="1" si="108"/>
        <v>0</v>
      </c>
      <c r="Q56" s="32">
        <f t="shared" ca="1" si="109"/>
        <v>0</v>
      </c>
      <c r="R56" s="32">
        <f t="shared" ca="1" si="110"/>
        <v>0</v>
      </c>
      <c r="S56" s="32">
        <f t="shared" ca="1" si="111"/>
        <v>0</v>
      </c>
      <c r="T56" s="33"/>
      <c r="U56" s="32">
        <f t="shared" ca="1" si="112"/>
        <v>0</v>
      </c>
      <c r="V56" s="32">
        <f t="shared" ca="1" si="113"/>
        <v>0</v>
      </c>
      <c r="W56" s="32">
        <f t="shared" ca="1" si="114"/>
        <v>0</v>
      </c>
      <c r="X56" s="32">
        <f t="shared" ca="1" si="115"/>
        <v>0</v>
      </c>
      <c r="Y56" s="32">
        <f t="shared" ca="1" si="116"/>
        <v>0</v>
      </c>
      <c r="Z56" s="32">
        <f t="shared" ca="1" si="117"/>
        <v>0</v>
      </c>
      <c r="AA56" s="32">
        <f t="shared" ca="1" si="118"/>
        <v>0</v>
      </c>
      <c r="AB56" s="32">
        <f t="shared" ca="1" si="119"/>
        <v>0</v>
      </c>
    </row>
    <row r="57" spans="1:28" ht="12.75" customHeight="1">
      <c r="A57" s="31">
        <v>3455</v>
      </c>
      <c r="B57" s="32" t="s">
        <v>86</v>
      </c>
      <c r="C57" s="32">
        <f t="shared" ca="1" si="97"/>
        <v>0</v>
      </c>
      <c r="D57" s="32">
        <f t="shared" ca="1" si="98"/>
        <v>0</v>
      </c>
      <c r="E57" s="32">
        <f t="shared" ca="1" si="99"/>
        <v>0</v>
      </c>
      <c r="F57" s="32">
        <f t="shared" ca="1" si="100"/>
        <v>0</v>
      </c>
      <c r="G57" s="33"/>
      <c r="H57" s="32">
        <f t="shared" ca="1" si="101"/>
        <v>0</v>
      </c>
      <c r="I57" s="33"/>
      <c r="J57" s="32">
        <f t="shared" ca="1" si="102"/>
        <v>0</v>
      </c>
      <c r="K57" s="32">
        <f t="shared" ca="1" si="103"/>
        <v>0</v>
      </c>
      <c r="L57" s="32">
        <f t="shared" ca="1" si="104"/>
        <v>0</v>
      </c>
      <c r="M57" s="32">
        <f t="shared" ca="1" si="105"/>
        <v>0</v>
      </c>
      <c r="N57" s="32">
        <f t="shared" ca="1" si="106"/>
        <v>0</v>
      </c>
      <c r="O57" s="32">
        <f t="shared" ca="1" si="107"/>
        <v>0</v>
      </c>
      <c r="P57" s="32">
        <f t="shared" ca="1" si="108"/>
        <v>0</v>
      </c>
      <c r="Q57" s="32">
        <f t="shared" ca="1" si="109"/>
        <v>0</v>
      </c>
      <c r="R57" s="32">
        <f t="shared" ca="1" si="110"/>
        <v>0</v>
      </c>
      <c r="S57" s="32">
        <f t="shared" ca="1" si="111"/>
        <v>0</v>
      </c>
      <c r="T57" s="33"/>
      <c r="U57" s="32">
        <f t="shared" ca="1" si="112"/>
        <v>0</v>
      </c>
      <c r="V57" s="32">
        <f t="shared" ca="1" si="113"/>
        <v>0</v>
      </c>
      <c r="W57" s="32">
        <f t="shared" ca="1" si="114"/>
        <v>0</v>
      </c>
      <c r="X57" s="32">
        <f t="shared" ca="1" si="115"/>
        <v>0</v>
      </c>
      <c r="Y57" s="32">
        <f t="shared" ca="1" si="116"/>
        <v>0</v>
      </c>
      <c r="Z57" s="32">
        <f t="shared" ca="1" si="117"/>
        <v>0</v>
      </c>
      <c r="AA57" s="32">
        <f t="shared" ca="1" si="118"/>
        <v>0</v>
      </c>
      <c r="AB57" s="32">
        <f t="shared" ca="1" si="119"/>
        <v>0</v>
      </c>
    </row>
    <row r="58" spans="1:28" ht="12.75" customHeight="1">
      <c r="A58" s="31" t="s">
        <v>1102</v>
      </c>
      <c r="B58" s="32" t="s">
        <v>87</v>
      </c>
      <c r="C58" s="32">
        <f t="shared" ca="1" si="97"/>
        <v>0</v>
      </c>
      <c r="D58" s="32">
        <f t="shared" ca="1" si="98"/>
        <v>0</v>
      </c>
      <c r="E58" s="32">
        <f t="shared" ca="1" si="99"/>
        <v>0</v>
      </c>
      <c r="F58" s="32">
        <f t="shared" ca="1" si="100"/>
        <v>0</v>
      </c>
      <c r="G58" s="33"/>
      <c r="H58" s="32">
        <f ca="1">ROUND(SUM(C58:F58),0)</f>
        <v>0</v>
      </c>
      <c r="I58" s="33"/>
      <c r="J58" s="32">
        <f t="shared" ca="1" si="102"/>
        <v>0</v>
      </c>
      <c r="K58" s="32">
        <f t="shared" ca="1" si="103"/>
        <v>0</v>
      </c>
      <c r="L58" s="32">
        <f t="shared" ca="1" si="104"/>
        <v>0</v>
      </c>
      <c r="M58" s="32">
        <f t="shared" ca="1" si="105"/>
        <v>0</v>
      </c>
      <c r="N58" s="32">
        <f t="shared" ca="1" si="106"/>
        <v>0</v>
      </c>
      <c r="O58" s="32">
        <f t="shared" ca="1" si="107"/>
        <v>0</v>
      </c>
      <c r="P58" s="32">
        <f t="shared" ca="1" si="108"/>
        <v>0</v>
      </c>
      <c r="Q58" s="32">
        <f t="shared" ca="1" si="109"/>
        <v>0</v>
      </c>
      <c r="R58" s="32">
        <f t="shared" ca="1" si="110"/>
        <v>0</v>
      </c>
      <c r="S58" s="32">
        <f t="shared" ca="1" si="111"/>
        <v>0</v>
      </c>
      <c r="T58" s="40"/>
      <c r="U58" s="32">
        <f t="shared" ca="1" si="112"/>
        <v>0</v>
      </c>
      <c r="V58" s="32">
        <f t="shared" ca="1" si="113"/>
        <v>0</v>
      </c>
      <c r="W58" s="32">
        <f t="shared" ca="1" si="114"/>
        <v>0</v>
      </c>
      <c r="X58" s="32">
        <f t="shared" ca="1" si="115"/>
        <v>0</v>
      </c>
      <c r="Y58" s="32">
        <f t="shared" ca="1" si="116"/>
        <v>0</v>
      </c>
      <c r="Z58" s="32">
        <f t="shared" ca="1" si="117"/>
        <v>0</v>
      </c>
      <c r="AA58" s="32">
        <f t="shared" ca="1" si="118"/>
        <v>0</v>
      </c>
      <c r="AB58" s="32">
        <f t="shared" ca="1" si="119"/>
        <v>0</v>
      </c>
    </row>
    <row r="59" spans="1:28" ht="12.75" customHeight="1">
      <c r="A59" s="31" t="s">
        <v>1103</v>
      </c>
      <c r="B59" s="32" t="s">
        <v>88</v>
      </c>
      <c r="C59" s="32">
        <f t="shared" ca="1" si="97"/>
        <v>0</v>
      </c>
      <c r="D59" s="32">
        <f t="shared" ca="1" si="98"/>
        <v>0</v>
      </c>
      <c r="E59" s="32">
        <f t="shared" ca="1" si="99"/>
        <v>0</v>
      </c>
      <c r="F59" s="32">
        <f t="shared" ca="1" si="100"/>
        <v>0</v>
      </c>
      <c r="G59" s="40"/>
      <c r="H59" s="32">
        <f t="shared" ca="1" si="101"/>
        <v>0</v>
      </c>
      <c r="I59" s="40"/>
      <c r="J59" s="32">
        <f t="shared" ca="1" si="102"/>
        <v>0</v>
      </c>
      <c r="K59" s="32">
        <f t="shared" ca="1" si="103"/>
        <v>0</v>
      </c>
      <c r="L59" s="32">
        <f t="shared" ca="1" si="104"/>
        <v>0</v>
      </c>
      <c r="M59" s="32">
        <f t="shared" ca="1" si="105"/>
        <v>0</v>
      </c>
      <c r="N59" s="32">
        <f t="shared" ca="1" si="106"/>
        <v>0</v>
      </c>
      <c r="O59" s="32">
        <f t="shared" ca="1" si="107"/>
        <v>0</v>
      </c>
      <c r="P59" s="32">
        <f t="shared" ca="1" si="108"/>
        <v>0</v>
      </c>
      <c r="Q59" s="32">
        <f t="shared" ca="1" si="109"/>
        <v>0</v>
      </c>
      <c r="R59" s="32">
        <f t="shared" ca="1" si="110"/>
        <v>0</v>
      </c>
      <c r="S59" s="32">
        <f t="shared" ca="1" si="111"/>
        <v>0</v>
      </c>
      <c r="T59" s="40"/>
      <c r="U59" s="32">
        <f t="shared" ca="1" si="112"/>
        <v>0</v>
      </c>
      <c r="V59" s="32">
        <f t="shared" ca="1" si="113"/>
        <v>0</v>
      </c>
      <c r="W59" s="32">
        <f t="shared" ca="1" si="114"/>
        <v>0</v>
      </c>
      <c r="X59" s="32">
        <f t="shared" ca="1" si="115"/>
        <v>0</v>
      </c>
      <c r="Y59" s="32">
        <f t="shared" ca="1" si="116"/>
        <v>0</v>
      </c>
      <c r="Z59" s="32">
        <f t="shared" ca="1" si="117"/>
        <v>0</v>
      </c>
      <c r="AA59" s="32">
        <f t="shared" ca="1" si="118"/>
        <v>0</v>
      </c>
      <c r="AB59" s="32">
        <f t="shared" ca="1" si="119"/>
        <v>0</v>
      </c>
    </row>
    <row r="60" spans="1:28" ht="12.75" customHeight="1">
      <c r="A60" s="37">
        <v>3459</v>
      </c>
      <c r="B60" s="38" t="s">
        <v>89</v>
      </c>
      <c r="C60" s="134">
        <f ca="1">ROUND(SUM(C54:C59),0)</f>
        <v>0</v>
      </c>
      <c r="D60" s="134">
        <f ca="1">ROUND(SUM(D54:D59),0)</f>
        <v>623928</v>
      </c>
      <c r="E60" s="134">
        <f ca="1">ROUND(SUM(E54:E59),0)</f>
        <v>0</v>
      </c>
      <c r="F60" s="134">
        <f ca="1">ROUND(SUM(F54:F59),0)</f>
        <v>0</v>
      </c>
      <c r="G60" s="40"/>
      <c r="H60" s="39">
        <f t="shared" ca="1" si="101"/>
        <v>623928</v>
      </c>
      <c r="I60" s="40"/>
      <c r="J60" s="39">
        <f ca="1">ROUND(SUM(J54:J59),0)</f>
        <v>0</v>
      </c>
      <c r="K60" s="39">
        <f t="shared" ref="K60:AA60" ca="1" si="120">ROUND(SUM(K54:K59),0)</f>
        <v>0</v>
      </c>
      <c r="L60" s="39">
        <f t="shared" ca="1" si="120"/>
        <v>0</v>
      </c>
      <c r="M60" s="39">
        <f t="shared" ca="1" si="120"/>
        <v>0</v>
      </c>
      <c r="N60" s="39">
        <f t="shared" ca="1" si="120"/>
        <v>0</v>
      </c>
      <c r="O60" s="39">
        <f t="shared" ca="1" si="120"/>
        <v>0</v>
      </c>
      <c r="P60" s="39">
        <f ca="1">ROUND(SUM(P54:P59),0)</f>
        <v>0</v>
      </c>
      <c r="Q60" s="39">
        <f t="shared" ca="1" si="120"/>
        <v>0</v>
      </c>
      <c r="R60" s="39">
        <f t="shared" ca="1" si="120"/>
        <v>0</v>
      </c>
      <c r="S60" s="39">
        <f ca="1">ROUND(SUM(S54:S59),0)</f>
        <v>0</v>
      </c>
      <c r="T60" s="40"/>
      <c r="U60" s="39">
        <f t="shared" ca="1" si="120"/>
        <v>0</v>
      </c>
      <c r="V60" s="39">
        <f t="shared" ca="1" si="120"/>
        <v>0</v>
      </c>
      <c r="W60" s="39">
        <f ca="1">ROUND(SUM(W54:W59),0)</f>
        <v>0</v>
      </c>
      <c r="X60" s="39">
        <f t="shared" ca="1" si="120"/>
        <v>0</v>
      </c>
      <c r="Y60" s="39">
        <f t="shared" ca="1" si="120"/>
        <v>0</v>
      </c>
      <c r="Z60" s="39">
        <f t="shared" ca="1" si="120"/>
        <v>0</v>
      </c>
      <c r="AA60" s="39">
        <f t="shared" ca="1" si="120"/>
        <v>0</v>
      </c>
      <c r="AB60" s="39">
        <f t="shared" ca="1" si="119"/>
        <v>623928</v>
      </c>
    </row>
    <row r="61" spans="1:28" ht="12.75" customHeight="1">
      <c r="A61" s="36"/>
      <c r="B61" s="146" t="s">
        <v>108</v>
      </c>
      <c r="C61" s="137"/>
      <c r="D61" s="137"/>
      <c r="E61" s="137"/>
      <c r="F61" s="137"/>
      <c r="G61" s="137"/>
      <c r="H61" s="137"/>
      <c r="I61" s="137"/>
      <c r="J61" s="138"/>
      <c r="K61" s="138"/>
      <c r="L61" s="138"/>
      <c r="M61" s="138"/>
      <c r="N61" s="138"/>
      <c r="O61" s="138"/>
      <c r="P61" s="138"/>
      <c r="Q61" s="138"/>
      <c r="R61" s="138"/>
      <c r="S61" s="138"/>
      <c r="T61" s="137"/>
      <c r="U61" s="138"/>
      <c r="V61" s="138"/>
      <c r="W61" s="138"/>
      <c r="X61" s="138"/>
      <c r="Y61" s="138"/>
      <c r="Z61" s="138"/>
      <c r="AA61" s="138"/>
      <c r="AB61" s="138"/>
    </row>
    <row r="62" spans="1:28" ht="12.75" customHeight="1">
      <c r="A62" s="31">
        <v>3462</v>
      </c>
      <c r="B62" s="32" t="s">
        <v>91</v>
      </c>
      <c r="C62" s="32">
        <f ca="1">SUMIF(lines,$A62,day)</f>
        <v>5520</v>
      </c>
      <c r="D62" s="32">
        <f ca="1">SUMIF(lines,$A62,special)</f>
        <v>31300</v>
      </c>
      <c r="E62" s="32">
        <f ca="1">SUMIF(lines,$A62,occday)</f>
        <v>0</v>
      </c>
      <c r="F62" s="32">
        <f ca="1">SUMIF(lines,$A62,other)</f>
        <v>0</v>
      </c>
      <c r="G62" s="33"/>
      <c r="H62" s="32">
        <f ca="1">ROUND(SUM(C62:F62),0)</f>
        <v>36820</v>
      </c>
      <c r="I62" s="33"/>
      <c r="J62" s="32">
        <f ca="1">SUMIF(lines,$A62,TitleI)</f>
        <v>0</v>
      </c>
      <c r="K62" s="32">
        <f ca="1">SUMIF(lines,$A62,IDEA)</f>
        <v>0</v>
      </c>
      <c r="L62" s="32">
        <f ca="1">SUMIF(lines,$A62,ESSERI)</f>
        <v>0</v>
      </c>
      <c r="M62" s="32">
        <f ca="1">SUMIF(lines,$A62,ESSERII)</f>
        <v>0</v>
      </c>
      <c r="N62" s="32">
        <f ca="1">SUMIF(lines,$A62,ESSERIII)</f>
        <v>0</v>
      </c>
      <c r="O62" s="32">
        <f ca="1">SUMIF(lines,$A62,ESSERG)</f>
        <v>0</v>
      </c>
      <c r="P62" s="32">
        <f ca="1">SUMIF(lines,$A62,GEER)</f>
        <v>0</v>
      </c>
      <c r="Q62" s="32">
        <f ca="1">SUMIF(lines,$A62,doefed)</f>
        <v>0</v>
      </c>
      <c r="R62" s="32">
        <f ca="1">SUMIF(lines,$A62,adultfed)</f>
        <v>0</v>
      </c>
      <c r="S62" s="32">
        <f ca="1">SUMIF(lines,$A62,otherfed)</f>
        <v>0</v>
      </c>
      <c r="T62" s="33"/>
      <c r="U62" s="32">
        <f ca="1">SUMIF(lines,$A62,doestate)</f>
        <v>0</v>
      </c>
      <c r="V62" s="32">
        <f ca="1">SUMIF(lines,$A62,adultstate)</f>
        <v>0</v>
      </c>
      <c r="W62" s="32">
        <f ca="1">SUMIF(lines,$A62,otherstate)</f>
        <v>0</v>
      </c>
      <c r="X62" s="32">
        <f ca="1">SUMIF(lines,$A62,circuitbreaker)</f>
        <v>0</v>
      </c>
      <c r="Y62" s="32">
        <f ca="1">SUMIF(lines,$A62,private)</f>
        <v>0</v>
      </c>
      <c r="Z62" s="32">
        <f ca="1">SUMIF(lines,$A62,schchoice)</f>
        <v>0</v>
      </c>
      <c r="AA62" s="32">
        <f ca="1">SUMIF(lines,$A62,otherreceipts)</f>
        <v>0</v>
      </c>
      <c r="AB62" s="32">
        <f ca="1">ROUND(SUM(H62:AA62),0)</f>
        <v>36820</v>
      </c>
    </row>
    <row r="63" spans="1:28" ht="12.75" customHeight="1">
      <c r="A63" s="31">
        <v>3463</v>
      </c>
      <c r="B63" s="32" t="s">
        <v>85</v>
      </c>
      <c r="C63" s="32">
        <f ca="1">SUMIF(lines,$A63,day)</f>
        <v>0</v>
      </c>
      <c r="D63" s="32">
        <f ca="1">SUMIF(lines,$A63,special)</f>
        <v>0</v>
      </c>
      <c r="E63" s="32">
        <f ca="1">SUMIF(lines,$A63,occday)</f>
        <v>0</v>
      </c>
      <c r="F63" s="32">
        <f ca="1">SUMIF(lines,$A63,other)</f>
        <v>0</v>
      </c>
      <c r="G63" s="33"/>
      <c r="H63" s="32">
        <f ca="1">ROUND(SUM(C63:F63),0)</f>
        <v>0</v>
      </c>
      <c r="I63" s="33"/>
      <c r="J63" s="32">
        <f ca="1">SUMIF(lines,$A63,TitleI)</f>
        <v>0</v>
      </c>
      <c r="K63" s="32">
        <f ca="1">SUMIF(lines,$A63,IDEA)</f>
        <v>0</v>
      </c>
      <c r="L63" s="32">
        <f ca="1">SUMIF(lines,$A63,ESSERI)</f>
        <v>0</v>
      </c>
      <c r="M63" s="32">
        <f ca="1">SUMIF(lines,$A63,ESSERII)</f>
        <v>0</v>
      </c>
      <c r="N63" s="32">
        <f ca="1">SUMIF(lines,$A63,ESSERIII)</f>
        <v>0</v>
      </c>
      <c r="O63" s="32">
        <f ca="1">SUMIF(lines,$A63,ESSERG)</f>
        <v>0</v>
      </c>
      <c r="P63" s="32">
        <f ca="1">SUMIF(lines,$A63,GEER)</f>
        <v>0</v>
      </c>
      <c r="Q63" s="32">
        <f ca="1">SUMIF(lines,$A63,doefed)</f>
        <v>0</v>
      </c>
      <c r="R63" s="32">
        <f ca="1">SUMIF(lines,$A63,adultfed)</f>
        <v>0</v>
      </c>
      <c r="S63" s="32">
        <f ca="1">SUMIF(lines,$A63,otherfed)</f>
        <v>0</v>
      </c>
      <c r="T63" s="33"/>
      <c r="U63" s="32">
        <f ca="1">SUMIF(lines,$A63,doestate)</f>
        <v>0</v>
      </c>
      <c r="V63" s="32">
        <f ca="1">SUMIF(lines,$A63,adultstate)</f>
        <v>0</v>
      </c>
      <c r="W63" s="32">
        <f ca="1">SUMIF(lines,$A63,otherstate)</f>
        <v>0</v>
      </c>
      <c r="X63" s="32">
        <f ca="1">SUMIF(lines,$A63,circuitbreaker)</f>
        <v>0</v>
      </c>
      <c r="Y63" s="32">
        <f ca="1">SUMIF(lines,$A63,private)</f>
        <v>0</v>
      </c>
      <c r="Z63" s="32">
        <f ca="1">SUMIF(lines,$A63,schchoice)</f>
        <v>0</v>
      </c>
      <c r="AA63" s="32">
        <f ca="1">SUMIF(lines,$A63,otherreceipts)</f>
        <v>0</v>
      </c>
      <c r="AB63" s="32">
        <f ca="1">ROUND(SUM(H63:AA63),0)</f>
        <v>0</v>
      </c>
    </row>
    <row r="64" spans="1:28" ht="12.75" customHeight="1">
      <c r="A64" s="31">
        <v>3464</v>
      </c>
      <c r="B64" s="32" t="s">
        <v>86</v>
      </c>
      <c r="C64" s="32">
        <f ca="1">SUMIF(lines,$A64,day)</f>
        <v>0</v>
      </c>
      <c r="D64" s="32">
        <f ca="1">SUMIF(lines,$A64,special)</f>
        <v>0</v>
      </c>
      <c r="E64" s="32">
        <f ca="1">SUMIF(lines,$A64,occday)</f>
        <v>0</v>
      </c>
      <c r="F64" s="32">
        <f ca="1">SUMIF(lines,$A64,other)</f>
        <v>0</v>
      </c>
      <c r="G64" s="33"/>
      <c r="H64" s="32">
        <f ca="1">ROUND(SUM(C64:F64),0)</f>
        <v>0</v>
      </c>
      <c r="I64" s="33"/>
      <c r="J64" s="32">
        <f ca="1">SUMIF(lines,$A64,TitleI)</f>
        <v>0</v>
      </c>
      <c r="K64" s="32">
        <f ca="1">SUMIF(lines,$A64,IDEA)</f>
        <v>0</v>
      </c>
      <c r="L64" s="32">
        <f ca="1">SUMIF(lines,$A64,ESSERI)</f>
        <v>0</v>
      </c>
      <c r="M64" s="32">
        <f ca="1">SUMIF(lines,$A64,ESSERII)</f>
        <v>0</v>
      </c>
      <c r="N64" s="32">
        <f ca="1">SUMIF(lines,$A64,ESSERIII)</f>
        <v>0</v>
      </c>
      <c r="O64" s="32">
        <f ca="1">SUMIF(lines,$A64,ESSERG)</f>
        <v>0</v>
      </c>
      <c r="P64" s="32">
        <f ca="1">SUMIF(lines,$A64,GEER)</f>
        <v>0</v>
      </c>
      <c r="Q64" s="32">
        <f ca="1">SUMIF(lines,$A64,doefed)</f>
        <v>0</v>
      </c>
      <c r="R64" s="32">
        <f ca="1">SUMIF(lines,$A64,adultfed)</f>
        <v>0</v>
      </c>
      <c r="S64" s="32">
        <f ca="1">SUMIF(lines,$A64,otherfed)</f>
        <v>0</v>
      </c>
      <c r="T64" s="33"/>
      <c r="U64" s="32">
        <f ca="1">SUMIF(lines,$A64,doestate)</f>
        <v>0</v>
      </c>
      <c r="V64" s="32">
        <f ca="1">SUMIF(lines,$A64,adultstate)</f>
        <v>0</v>
      </c>
      <c r="W64" s="32">
        <f ca="1">SUMIF(lines,$A64,otherstate)</f>
        <v>0</v>
      </c>
      <c r="X64" s="32">
        <f ca="1">SUMIF(lines,$A64,circuitbreaker)</f>
        <v>0</v>
      </c>
      <c r="Y64" s="32">
        <f ca="1">SUMIF(lines,$A64,private)</f>
        <v>0</v>
      </c>
      <c r="Z64" s="32">
        <f ca="1">SUMIF(lines,$A64,schchoice)</f>
        <v>0</v>
      </c>
      <c r="AA64" s="32">
        <f ca="1">SUMIF(lines,$A64,otherreceipts)</f>
        <v>0</v>
      </c>
      <c r="AB64" s="32">
        <f ca="1">ROUND(SUM(H64:AA64),0)</f>
        <v>0</v>
      </c>
    </row>
    <row r="65" spans="1:28" ht="12.75" customHeight="1">
      <c r="A65" s="31">
        <v>3465</v>
      </c>
      <c r="B65" s="38" t="s">
        <v>89</v>
      </c>
      <c r="C65" s="134">
        <f ca="1">ROUND(SUM(C62:C64),0)</f>
        <v>5520</v>
      </c>
      <c r="D65" s="134">
        <f ca="1">ROUND(SUM(D62:D64),0)</f>
        <v>31300</v>
      </c>
      <c r="E65" s="134">
        <f ca="1">ROUND(SUM(E62:E64),0)</f>
        <v>0</v>
      </c>
      <c r="F65" s="134">
        <f ca="1">ROUND(SUM(F62:F64),0)</f>
        <v>0</v>
      </c>
      <c r="G65" s="33"/>
      <c r="H65" s="32">
        <f ca="1">ROUND(SUM(C65:F65),0)</f>
        <v>36820</v>
      </c>
      <c r="I65" s="33"/>
      <c r="J65" s="134">
        <f t="shared" ref="J65:AA65" ca="1" si="121">ROUND(SUM(J62:J64),0)</f>
        <v>0</v>
      </c>
      <c r="K65" s="134">
        <f t="shared" ca="1" si="121"/>
        <v>0</v>
      </c>
      <c r="L65" s="134">
        <f t="shared" ca="1" si="121"/>
        <v>0</v>
      </c>
      <c r="M65" s="134">
        <f t="shared" ca="1" si="121"/>
        <v>0</v>
      </c>
      <c r="N65" s="134">
        <f t="shared" ca="1" si="121"/>
        <v>0</v>
      </c>
      <c r="O65" s="134">
        <f t="shared" ca="1" si="121"/>
        <v>0</v>
      </c>
      <c r="P65" s="134">
        <f ca="1">ROUND(SUM(P62:P64),0)</f>
        <v>0</v>
      </c>
      <c r="Q65" s="134">
        <f t="shared" ca="1" si="121"/>
        <v>0</v>
      </c>
      <c r="R65" s="134">
        <f t="shared" ca="1" si="121"/>
        <v>0</v>
      </c>
      <c r="S65" s="134">
        <f ca="1">ROUND(SUM(S62:S64),0)</f>
        <v>0</v>
      </c>
      <c r="T65" s="33"/>
      <c r="U65" s="134">
        <f t="shared" ca="1" si="121"/>
        <v>0</v>
      </c>
      <c r="V65" s="134">
        <f t="shared" ca="1" si="121"/>
        <v>0</v>
      </c>
      <c r="W65" s="134">
        <f ca="1">ROUND(SUM(W62:W64),0)</f>
        <v>0</v>
      </c>
      <c r="X65" s="134">
        <f t="shared" ca="1" si="121"/>
        <v>0</v>
      </c>
      <c r="Y65" s="134">
        <f t="shared" ca="1" si="121"/>
        <v>0</v>
      </c>
      <c r="Z65" s="134">
        <f t="shared" ca="1" si="121"/>
        <v>0</v>
      </c>
      <c r="AA65" s="134">
        <f t="shared" ca="1" si="121"/>
        <v>0</v>
      </c>
      <c r="AB65" s="32">
        <f ca="1">ROUND(SUM(H65:AA65),0)</f>
        <v>36820</v>
      </c>
    </row>
    <row r="66" spans="1:28" ht="12.75" customHeight="1">
      <c r="A66" s="154"/>
      <c r="B66" s="155" t="s">
        <v>109</v>
      </c>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row>
    <row r="67" spans="1:28" ht="12.75" customHeight="1">
      <c r="A67" s="147">
        <v>3467</v>
      </c>
      <c r="B67" s="136" t="s">
        <v>85</v>
      </c>
      <c r="C67" s="32">
        <f ca="1">SUMIF(lines,$A67,day)</f>
        <v>91389</v>
      </c>
      <c r="D67" s="32">
        <f ca="1">SUMIF(lines,$A67,special)</f>
        <v>40865</v>
      </c>
      <c r="E67" s="32">
        <f ca="1">SUMIF(lines,$A67,occday)</f>
        <v>0</v>
      </c>
      <c r="F67" s="32">
        <f ca="1">SUMIF(lines,$A67,other)</f>
        <v>0</v>
      </c>
      <c r="G67" s="148"/>
      <c r="H67" s="136">
        <f ca="1">ROUND(SUM(C67:F67),0)</f>
        <v>132254</v>
      </c>
      <c r="I67" s="148"/>
      <c r="J67" s="32">
        <f ca="1">SUMIF(lines,$A67,TitleI)</f>
        <v>0</v>
      </c>
      <c r="K67" s="32">
        <f ca="1">SUMIF(lines,$A67,IDEA)</f>
        <v>0</v>
      </c>
      <c r="L67" s="32">
        <f ca="1">SUMIF(lines,$A67,ESSERI)</f>
        <v>0</v>
      </c>
      <c r="M67" s="32">
        <f ca="1">SUMIF(lines,$A67,ESSERII)</f>
        <v>0</v>
      </c>
      <c r="N67" s="32">
        <f ca="1">SUMIF(lines,$A67,ESSERIII)</f>
        <v>0</v>
      </c>
      <c r="O67" s="32">
        <f ca="1">SUMIF(lines,$A67,ESSERG)</f>
        <v>0</v>
      </c>
      <c r="P67" s="32">
        <f ca="1">SUMIF(lines,$A67,GEER)</f>
        <v>0</v>
      </c>
      <c r="Q67" s="32">
        <f ca="1">SUMIF(lines,$A67,doefed)</f>
        <v>0</v>
      </c>
      <c r="R67" s="32">
        <f ca="1">SUMIF(lines,$A67,adultfed)</f>
        <v>0</v>
      </c>
      <c r="S67" s="32">
        <f ca="1">SUMIF(lines,$A67,otherfed)</f>
        <v>0</v>
      </c>
      <c r="T67" s="148"/>
      <c r="U67" s="32">
        <f ca="1">SUMIF(lines,$A67,doestate)</f>
        <v>0</v>
      </c>
      <c r="V67" s="32">
        <f ca="1">SUMIF(lines,$A67,adultstate)</f>
        <v>0</v>
      </c>
      <c r="W67" s="32">
        <f ca="1">SUMIF(lines,$A67,otherstate)</f>
        <v>0</v>
      </c>
      <c r="X67" s="32">
        <f ca="1">SUMIF(lines,$A67,circuitbreaker)</f>
        <v>0</v>
      </c>
      <c r="Y67" s="32">
        <f ca="1">SUMIF(lines,$A67,private)</f>
        <v>0</v>
      </c>
      <c r="Z67" s="32">
        <f ca="1">SUMIF(lines,$A67,schchoice)</f>
        <v>0</v>
      </c>
      <c r="AA67" s="32">
        <f ca="1">SUMIF(lines,$A67,otherreceipts)</f>
        <v>0</v>
      </c>
      <c r="AB67" s="136">
        <f ca="1">ROUND(SUM(H67:AA67),0)</f>
        <v>132254</v>
      </c>
    </row>
    <row r="68" spans="1:28" ht="12.75" customHeight="1">
      <c r="A68" s="31">
        <v>3468</v>
      </c>
      <c r="B68" s="32" t="s">
        <v>86</v>
      </c>
      <c r="C68" s="32">
        <f ca="1">SUMIF(lines,$A68,day)</f>
        <v>119774.99</v>
      </c>
      <c r="D68" s="32">
        <f ca="1">SUMIF(lines,$A68,special)</f>
        <v>60145.08</v>
      </c>
      <c r="E68" s="32">
        <f ca="1">SUMIF(lines,$A68,occday)</f>
        <v>0</v>
      </c>
      <c r="F68" s="32">
        <f ca="1">SUMIF(lines,$A68,other)</f>
        <v>0</v>
      </c>
      <c r="G68" s="33"/>
      <c r="H68" s="32">
        <f ca="1">ROUND(SUM(C68:F68),0)</f>
        <v>179920</v>
      </c>
      <c r="I68" s="33"/>
      <c r="J68" s="32">
        <f ca="1">SUMIF(lines,$A68,TitleI)</f>
        <v>0</v>
      </c>
      <c r="K68" s="32">
        <f ca="1">SUMIF(lines,$A68,IDEA)</f>
        <v>0</v>
      </c>
      <c r="L68" s="32">
        <f ca="1">SUMIF(lines,$A68,ESSERI)</f>
        <v>0</v>
      </c>
      <c r="M68" s="32">
        <f ca="1">SUMIF(lines,$A68,ESSERII)</f>
        <v>0</v>
      </c>
      <c r="N68" s="32">
        <f ca="1">SUMIF(lines,$A68,ESSERIII)</f>
        <v>0</v>
      </c>
      <c r="O68" s="32">
        <f ca="1">SUMIF(lines,$A68,ESSERG)</f>
        <v>0</v>
      </c>
      <c r="P68" s="32">
        <f ca="1">SUMIF(lines,$A68,GEER)</f>
        <v>0</v>
      </c>
      <c r="Q68" s="32">
        <f ca="1">SUMIF(lines,$A68,doefed)</f>
        <v>0</v>
      </c>
      <c r="R68" s="32">
        <f ca="1">SUMIF(lines,$A68,adultfed)</f>
        <v>0</v>
      </c>
      <c r="S68" s="32">
        <f ca="1">SUMIF(lines,$A68,otherfed)</f>
        <v>0</v>
      </c>
      <c r="T68" s="33"/>
      <c r="U68" s="32">
        <f ca="1">SUMIF(lines,$A68,doestate)</f>
        <v>0</v>
      </c>
      <c r="V68" s="32">
        <f ca="1">SUMIF(lines,$A68,adultstate)</f>
        <v>0</v>
      </c>
      <c r="W68" s="32">
        <f ca="1">SUMIF(lines,$A68,otherstate)</f>
        <v>0</v>
      </c>
      <c r="X68" s="32">
        <f ca="1">SUMIF(lines,$A68,circuitbreaker)</f>
        <v>0</v>
      </c>
      <c r="Y68" s="32">
        <f ca="1">SUMIF(lines,$A68,private)</f>
        <v>0</v>
      </c>
      <c r="Z68" s="32">
        <f ca="1">SUMIF(lines,$A68,schchoice)</f>
        <v>0</v>
      </c>
      <c r="AA68" s="32">
        <f ca="1">SUMIF(lines,$A68,otherreceipts)</f>
        <v>0</v>
      </c>
      <c r="AB68" s="32">
        <f ca="1">ROUND(SUM(H68:AA68),0)</f>
        <v>179920</v>
      </c>
    </row>
    <row r="69" spans="1:28" ht="12.75" customHeight="1">
      <c r="A69" s="31">
        <v>3469</v>
      </c>
      <c r="B69" s="34" t="s">
        <v>89</v>
      </c>
      <c r="C69" s="32">
        <f ca="1">ROUND(SUM(C67:C68),0)</f>
        <v>211164</v>
      </c>
      <c r="D69" s="32">
        <f ca="1">ROUND(SUM(D67:D68),0)</f>
        <v>101010</v>
      </c>
      <c r="E69" s="32">
        <f ca="1">ROUND(SUM(E67:E68),0)</f>
        <v>0</v>
      </c>
      <c r="F69" s="32">
        <f ca="1">ROUND(SUM(F67:F68),0)</f>
        <v>0</v>
      </c>
      <c r="G69" s="33"/>
      <c r="H69" s="32">
        <f ca="1">ROUND(SUM(C69:F69),0)</f>
        <v>312174</v>
      </c>
      <c r="I69" s="33"/>
      <c r="J69" s="32">
        <f t="shared" ref="J69:P69" ca="1" si="122">ROUND(SUM(J67:J68),0)</f>
        <v>0</v>
      </c>
      <c r="K69" s="32">
        <f t="shared" ca="1" si="122"/>
        <v>0</v>
      </c>
      <c r="L69" s="32">
        <f t="shared" ca="1" si="122"/>
        <v>0</v>
      </c>
      <c r="M69" s="32">
        <f t="shared" ca="1" si="122"/>
        <v>0</v>
      </c>
      <c r="N69" s="32">
        <f t="shared" ca="1" si="122"/>
        <v>0</v>
      </c>
      <c r="O69" s="32">
        <f t="shared" ca="1" si="122"/>
        <v>0</v>
      </c>
      <c r="P69" s="32">
        <f t="shared" ca="1" si="122"/>
        <v>0</v>
      </c>
      <c r="Q69" s="32">
        <f t="shared" ref="Q69:AA69" ca="1" si="123">ROUND(SUM(Q67:Q68),0)</f>
        <v>0</v>
      </c>
      <c r="R69" s="32">
        <f t="shared" ca="1" si="123"/>
        <v>0</v>
      </c>
      <c r="S69" s="32">
        <f ca="1">ROUND(SUM(S67:S68),0)</f>
        <v>0</v>
      </c>
      <c r="T69" s="33"/>
      <c r="U69" s="32">
        <f t="shared" ca="1" si="123"/>
        <v>0</v>
      </c>
      <c r="V69" s="32">
        <f t="shared" ca="1" si="123"/>
        <v>0</v>
      </c>
      <c r="W69" s="32">
        <f ca="1">ROUND(SUM(W67:W68),0)</f>
        <v>0</v>
      </c>
      <c r="X69" s="32">
        <f t="shared" ca="1" si="123"/>
        <v>0</v>
      </c>
      <c r="Y69" s="32">
        <f t="shared" ca="1" si="123"/>
        <v>0</v>
      </c>
      <c r="Z69" s="32">
        <f t="shared" ca="1" si="123"/>
        <v>0</v>
      </c>
      <c r="AA69" s="32">
        <f t="shared" ca="1" si="123"/>
        <v>0</v>
      </c>
      <c r="AB69" s="32">
        <f ca="1">ROUND(SUM(H69:AA69),0)</f>
        <v>312174</v>
      </c>
    </row>
    <row r="70" spans="1:28" ht="12.75" customHeight="1">
      <c r="A70" s="35"/>
      <c r="B70" s="120" t="s">
        <v>110</v>
      </c>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row>
    <row r="71" spans="1:28" ht="12.75" customHeight="1">
      <c r="A71" s="31">
        <v>3473</v>
      </c>
      <c r="B71" s="32" t="s">
        <v>85</v>
      </c>
      <c r="C71" s="32">
        <f ca="1">SUMIF(lines,$A71,day)</f>
        <v>96135.11</v>
      </c>
      <c r="D71" s="32">
        <f ca="1">SUMIF(lines,$A71,special)</f>
        <v>1060979</v>
      </c>
      <c r="E71" s="32">
        <f ca="1">SUMIF(lines,$A71,occday)</f>
        <v>0</v>
      </c>
      <c r="F71" s="32">
        <f ca="1">SUMIF(lines,$A71,other)</f>
        <v>0</v>
      </c>
      <c r="G71" s="33"/>
      <c r="H71" s="32">
        <f ca="1">ROUND(SUM(C71:F71),0)</f>
        <v>1157114</v>
      </c>
      <c r="I71" s="33"/>
      <c r="J71" s="32">
        <f ca="1">SUMIF(lines,$A71,TitleI)</f>
        <v>0</v>
      </c>
      <c r="K71" s="32">
        <f ca="1">SUMIF(lines,$A71,IDEA)</f>
        <v>0</v>
      </c>
      <c r="L71" s="32">
        <f ca="1">SUMIF(lines,$A71,ESSERI)</f>
        <v>0</v>
      </c>
      <c r="M71" s="32">
        <f ca="1">SUMIF(lines,$A71,ESSERII)</f>
        <v>0</v>
      </c>
      <c r="N71" s="32">
        <f ca="1">SUMIF(lines,$A71,ESSERIII)</f>
        <v>0</v>
      </c>
      <c r="O71" s="32">
        <f ca="1">SUMIF(lines,$A71,ESSERG)</f>
        <v>0</v>
      </c>
      <c r="P71" s="32">
        <f ca="1">SUMIF(lines,$A71,GEER)</f>
        <v>0</v>
      </c>
      <c r="Q71" s="32">
        <f ca="1">SUMIF(lines,$A71,doefed)</f>
        <v>0</v>
      </c>
      <c r="R71" s="32">
        <f ca="1">SUMIF(lines,$A71,adultfed)</f>
        <v>0</v>
      </c>
      <c r="S71" s="32">
        <f ca="1">SUMIF(lines,$A71,otherfed)</f>
        <v>0</v>
      </c>
      <c r="T71" s="33"/>
      <c r="U71" s="32">
        <f ca="1">SUMIF(lines,$A71,doestate)</f>
        <v>0</v>
      </c>
      <c r="V71" s="32">
        <f ca="1">SUMIF(lines,$A71,adultstate)</f>
        <v>0</v>
      </c>
      <c r="W71" s="32">
        <f ca="1">SUMIF(lines,$A71,otherstate)</f>
        <v>0</v>
      </c>
      <c r="X71" s="32">
        <f ca="1">SUMIF(lines,$A71,circuitbreaker)</f>
        <v>0</v>
      </c>
      <c r="Y71" s="32">
        <f ca="1">SUMIF(lines,$A71,private)</f>
        <v>0</v>
      </c>
      <c r="Z71" s="32">
        <f ca="1">SUMIF(lines,$A71,schchoice)</f>
        <v>0</v>
      </c>
      <c r="AA71" s="32">
        <f ca="1">SUMIF(lines,$A71,otherreceipts)</f>
        <v>0</v>
      </c>
      <c r="AB71" s="32">
        <f ca="1">ROUND(SUM(H71:AA71),0)</f>
        <v>1157114</v>
      </c>
    </row>
    <row r="72" spans="1:28" ht="12.75" customHeight="1">
      <c r="A72" s="31">
        <v>3474</v>
      </c>
      <c r="B72" s="32" t="s">
        <v>86</v>
      </c>
      <c r="C72" s="32">
        <f ca="1">SUMIF(lines,$A72,day)</f>
        <v>0</v>
      </c>
      <c r="D72" s="32">
        <f ca="1">SUMIF(lines,$A72,special)</f>
        <v>0</v>
      </c>
      <c r="E72" s="32">
        <f ca="1">SUMIF(lines,$A72,occday)</f>
        <v>0</v>
      </c>
      <c r="F72" s="32">
        <f ca="1">SUMIF(lines,$A72,other)</f>
        <v>0</v>
      </c>
      <c r="G72" s="33"/>
      <c r="H72" s="32">
        <f ca="1">ROUND(SUM(C72:F72),0)</f>
        <v>0</v>
      </c>
      <c r="I72" s="33"/>
      <c r="J72" s="32">
        <f ca="1">SUMIF(lines,$A72,TitleI)</f>
        <v>0</v>
      </c>
      <c r="K72" s="32">
        <f ca="1">SUMIF(lines,$A72,IDEA)</f>
        <v>0</v>
      </c>
      <c r="L72" s="32">
        <f ca="1">SUMIF(lines,$A72,ESSERI)</f>
        <v>0</v>
      </c>
      <c r="M72" s="32">
        <f ca="1">SUMIF(lines,$A72,ESSERII)</f>
        <v>0</v>
      </c>
      <c r="N72" s="32">
        <f ca="1">SUMIF(lines,$A72,ESSERIII)</f>
        <v>0</v>
      </c>
      <c r="O72" s="32">
        <f ca="1">SUMIF(lines,$A72,ESSERG)</f>
        <v>0</v>
      </c>
      <c r="P72" s="32">
        <f ca="1">SUMIF(lines,$A72,GEER)</f>
        <v>0</v>
      </c>
      <c r="Q72" s="32">
        <f ca="1">SUMIF(lines,$A72,doefed)</f>
        <v>0</v>
      </c>
      <c r="R72" s="32">
        <f ca="1">SUMIF(lines,$A72,adultfed)</f>
        <v>0</v>
      </c>
      <c r="S72" s="32">
        <f ca="1">SUMIF(lines,$A72,otherfed)</f>
        <v>0</v>
      </c>
      <c r="T72" s="33"/>
      <c r="U72" s="32">
        <f ca="1">SUMIF(lines,$A72,doestate)</f>
        <v>0</v>
      </c>
      <c r="V72" s="32">
        <f ca="1">SUMIF(lines,$A72,adultstate)</f>
        <v>0</v>
      </c>
      <c r="W72" s="32">
        <f ca="1">SUMIF(lines,$A72,otherstate)</f>
        <v>0</v>
      </c>
      <c r="X72" s="32">
        <f ca="1">SUMIF(lines,$A72,circuitbreaker)</f>
        <v>0</v>
      </c>
      <c r="Y72" s="32">
        <f ca="1">SUMIF(lines,$A72,private)</f>
        <v>0</v>
      </c>
      <c r="Z72" s="32">
        <f ca="1">SUMIF(lines,$A72,schchoice)</f>
        <v>0</v>
      </c>
      <c r="AA72" s="32">
        <f ca="1">SUMIF(lines,$A72,otherreceipts)</f>
        <v>0</v>
      </c>
      <c r="AB72" s="32">
        <f ca="1">ROUND(SUM(H72:AA72),0)</f>
        <v>0</v>
      </c>
    </row>
    <row r="73" spans="1:28" ht="12.75" customHeight="1">
      <c r="A73" s="31">
        <v>3475</v>
      </c>
      <c r="B73" s="34" t="s">
        <v>89</v>
      </c>
      <c r="C73" s="32">
        <f ca="1">ROUND(SUM(C71:C72),0)</f>
        <v>96135</v>
      </c>
      <c r="D73" s="32">
        <f ca="1">ROUND(SUM(D71:D72),0)</f>
        <v>1060979</v>
      </c>
      <c r="E73" s="32">
        <f ca="1">ROUND(SUM(E71:E72),0)</f>
        <v>0</v>
      </c>
      <c r="F73" s="32">
        <f ca="1">ROUND(SUM(F71:F72),0)</f>
        <v>0</v>
      </c>
      <c r="G73" s="33"/>
      <c r="H73" s="32">
        <f ca="1">ROUND(SUM(C73:F73),0)</f>
        <v>1157114</v>
      </c>
      <c r="I73" s="33"/>
      <c r="J73" s="32">
        <f t="shared" ref="J73:P73" ca="1" si="124">ROUND(SUM(J71:J72),0)</f>
        <v>0</v>
      </c>
      <c r="K73" s="32">
        <f t="shared" ca="1" si="124"/>
        <v>0</v>
      </c>
      <c r="L73" s="32">
        <f t="shared" ca="1" si="124"/>
        <v>0</v>
      </c>
      <c r="M73" s="32">
        <f t="shared" ca="1" si="124"/>
        <v>0</v>
      </c>
      <c r="N73" s="32">
        <f t="shared" ca="1" si="124"/>
        <v>0</v>
      </c>
      <c r="O73" s="32">
        <f t="shared" ca="1" si="124"/>
        <v>0</v>
      </c>
      <c r="P73" s="32">
        <f t="shared" ca="1" si="124"/>
        <v>0</v>
      </c>
      <c r="Q73" s="32">
        <f t="shared" ref="Q73:AA73" ca="1" si="125">ROUND(SUM(Q71:Q72),0)</f>
        <v>0</v>
      </c>
      <c r="R73" s="32">
        <f t="shared" ca="1" si="125"/>
        <v>0</v>
      </c>
      <c r="S73" s="32">
        <f ca="1">ROUND(SUM(S71:S72),0)</f>
        <v>0</v>
      </c>
      <c r="T73" s="33"/>
      <c r="U73" s="32">
        <f t="shared" ca="1" si="125"/>
        <v>0</v>
      </c>
      <c r="V73" s="32">
        <f t="shared" ca="1" si="125"/>
        <v>0</v>
      </c>
      <c r="W73" s="32">
        <f ca="1">ROUND(SUM(W71:W72),0)</f>
        <v>0</v>
      </c>
      <c r="X73" s="32">
        <f t="shared" ca="1" si="125"/>
        <v>0</v>
      </c>
      <c r="Y73" s="32">
        <f t="shared" ca="1" si="125"/>
        <v>0</v>
      </c>
      <c r="Z73" s="32">
        <f t="shared" ca="1" si="125"/>
        <v>0</v>
      </c>
      <c r="AA73" s="32">
        <f t="shared" ca="1" si="125"/>
        <v>0</v>
      </c>
      <c r="AB73" s="32">
        <f ca="1">ROUND(SUM(H73:AA73),0)</f>
        <v>1157114</v>
      </c>
    </row>
    <row r="74" spans="1:28" ht="12.75" customHeight="1">
      <c r="A74" s="35"/>
      <c r="B74" s="120" t="s">
        <v>111</v>
      </c>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row>
    <row r="75" spans="1:28" ht="12.75" customHeight="1">
      <c r="A75" s="31">
        <v>3476</v>
      </c>
      <c r="B75" s="32" t="s">
        <v>91</v>
      </c>
      <c r="C75" s="33"/>
      <c r="D75" s="33"/>
      <c r="E75" s="33"/>
      <c r="F75" s="33"/>
      <c r="G75" s="32">
        <f ca="1">SUMIF(lines,$A75,undist)</f>
        <v>0</v>
      </c>
      <c r="H75" s="32">
        <f ca="1">ROUND(G75,0)</f>
        <v>0</v>
      </c>
      <c r="I75" s="32">
        <f ca="1">SUMIF(lines,$A75,citytwn)</f>
        <v>0</v>
      </c>
      <c r="J75" s="32">
        <f ca="1">SUMIF(lines,$A75,TitleI)</f>
        <v>0</v>
      </c>
      <c r="K75" s="32">
        <f ca="1">SUMIF(lines,$A75,IDEA)</f>
        <v>0</v>
      </c>
      <c r="L75" s="32">
        <f ca="1">SUMIF(lines,$A75,ESSERI)</f>
        <v>0</v>
      </c>
      <c r="M75" s="32">
        <f ca="1">SUMIF(lines,$A75,ESSERII)</f>
        <v>0</v>
      </c>
      <c r="N75" s="32">
        <f ca="1">SUMIF(lines,$A75,ESSERIII)</f>
        <v>0</v>
      </c>
      <c r="O75" s="32">
        <f ca="1">SUMIF(lines,$A75,ESSERG)</f>
        <v>0</v>
      </c>
      <c r="P75" s="32">
        <f ca="1">SUMIF(lines,$A75,GEER)</f>
        <v>0</v>
      </c>
      <c r="Q75" s="32">
        <f ca="1">SUMIF(lines,$A75,doefed)</f>
        <v>0</v>
      </c>
      <c r="R75" s="32">
        <f ca="1">SUMIF(lines,$A75,adultfed)</f>
        <v>0</v>
      </c>
      <c r="S75" s="32">
        <f ca="1">SUMIF(lines,$A75,otherfed)</f>
        <v>0</v>
      </c>
      <c r="T75" s="33"/>
      <c r="U75" s="32">
        <f ca="1">SUMIF(lines,$A75,doestate)</f>
        <v>0</v>
      </c>
      <c r="V75" s="32">
        <f ca="1">SUMIF(lines,$A75,adultstate)</f>
        <v>0</v>
      </c>
      <c r="W75" s="32">
        <f ca="1">SUMIF(lines,$A75,otherstate)</f>
        <v>0</v>
      </c>
      <c r="X75" s="32">
        <f ca="1">SUMIF(lines,$A75,circuitbreaker)</f>
        <v>0</v>
      </c>
      <c r="Y75" s="32">
        <f ca="1">SUMIF(lines,$A75,private)</f>
        <v>0</v>
      </c>
      <c r="Z75" s="32">
        <f ca="1">SUMIF(lines,$A75,schchoice)</f>
        <v>0</v>
      </c>
      <c r="AA75" s="32">
        <f ca="1">SUMIF(lines,$A75,otherreceipts)</f>
        <v>0</v>
      </c>
      <c r="AB75" s="32">
        <f ca="1">ROUND(SUM(H75:AA75),0)</f>
        <v>0</v>
      </c>
    </row>
    <row r="76" spans="1:28" ht="12.75" customHeight="1">
      <c r="A76" s="31">
        <v>3477</v>
      </c>
      <c r="B76" s="32" t="s">
        <v>84</v>
      </c>
      <c r="C76" s="33"/>
      <c r="D76" s="33"/>
      <c r="E76" s="33"/>
      <c r="F76" s="33"/>
      <c r="G76" s="32">
        <f ca="1">SUMIF(lines,$A76,undist)</f>
        <v>0</v>
      </c>
      <c r="H76" s="32">
        <f ca="1">ROUND(G76,0)</f>
        <v>0</v>
      </c>
      <c r="I76" s="32">
        <f ca="1">SUMIF(lines,$A76,citytwn)</f>
        <v>0</v>
      </c>
      <c r="J76" s="32">
        <f ca="1">SUMIF(lines,$A76,TitleI)</f>
        <v>0</v>
      </c>
      <c r="K76" s="32">
        <f ca="1">SUMIF(lines,$A76,IDEA)</f>
        <v>0</v>
      </c>
      <c r="L76" s="32">
        <f ca="1">SUMIF(lines,$A76,ESSERI)</f>
        <v>0</v>
      </c>
      <c r="M76" s="32">
        <f ca="1">SUMIF(lines,$A76,ESSERII)</f>
        <v>0</v>
      </c>
      <c r="N76" s="32">
        <f ca="1">SUMIF(lines,$A76,ESSERIII)</f>
        <v>0</v>
      </c>
      <c r="O76" s="32">
        <f ca="1">SUMIF(lines,$A76,ESSERG)</f>
        <v>0</v>
      </c>
      <c r="P76" s="32">
        <f ca="1">SUMIF(lines,$A76,GEER)</f>
        <v>0</v>
      </c>
      <c r="Q76" s="32">
        <f ca="1">SUMIF(lines,$A76,doefed)</f>
        <v>0</v>
      </c>
      <c r="R76" s="32">
        <f ca="1">SUMIF(lines,$A76,adultfed)</f>
        <v>0</v>
      </c>
      <c r="S76" s="32">
        <f ca="1">SUMIF(lines,$A76,otherfed)</f>
        <v>0</v>
      </c>
      <c r="T76" s="33"/>
      <c r="U76" s="32">
        <f ca="1">SUMIF(lines,$A76,doestate)</f>
        <v>0</v>
      </c>
      <c r="V76" s="32">
        <f ca="1">SUMIF(lines,$A76,adultstate)</f>
        <v>0</v>
      </c>
      <c r="W76" s="32">
        <f ca="1">SUMIF(lines,$A76,otherstate)</f>
        <v>0</v>
      </c>
      <c r="X76" s="32">
        <f ca="1">SUMIF(lines,$A76,circuitbreaker)</f>
        <v>0</v>
      </c>
      <c r="Y76" s="32">
        <f ca="1">SUMIF(lines,$A76,private)</f>
        <v>0</v>
      </c>
      <c r="Z76" s="32">
        <f ca="1">SUMIF(lines,$A76,schchoice)</f>
        <v>0</v>
      </c>
      <c r="AA76" s="32">
        <f ca="1">SUMIF(lines,$A76,otherreceipts)</f>
        <v>0</v>
      </c>
      <c r="AB76" s="32">
        <f ca="1">ROUND(SUM(H76:AA76),0)</f>
        <v>0</v>
      </c>
    </row>
    <row r="77" spans="1:28" ht="12.75" customHeight="1">
      <c r="A77" s="31">
        <v>3478</v>
      </c>
      <c r="B77" s="32" t="s">
        <v>85</v>
      </c>
      <c r="C77" s="33"/>
      <c r="D77" s="33"/>
      <c r="E77" s="33"/>
      <c r="F77" s="33"/>
      <c r="G77" s="32">
        <f ca="1">SUMIF(lines,$A77,undist)</f>
        <v>0</v>
      </c>
      <c r="H77" s="32">
        <f ca="1">ROUND(G77,0)</f>
        <v>0</v>
      </c>
      <c r="I77" s="32">
        <f ca="1">SUMIF(lines,$A77,citytwn)</f>
        <v>0</v>
      </c>
      <c r="J77" s="32">
        <f ca="1">SUMIF(lines,$A77,TitleI)</f>
        <v>0</v>
      </c>
      <c r="K77" s="32">
        <f ca="1">SUMIF(lines,$A77,IDEA)</f>
        <v>0</v>
      </c>
      <c r="L77" s="32">
        <f ca="1">SUMIF(lines,$A77,ESSERI)</f>
        <v>0</v>
      </c>
      <c r="M77" s="32">
        <f ca="1">SUMIF(lines,$A77,ESSERII)</f>
        <v>0</v>
      </c>
      <c r="N77" s="32">
        <f ca="1">SUMIF(lines,$A77,ESSERIII)</f>
        <v>0</v>
      </c>
      <c r="O77" s="32">
        <f ca="1">SUMIF(lines,$A77,ESSERG)</f>
        <v>0</v>
      </c>
      <c r="P77" s="32">
        <f ca="1">SUMIF(lines,$A77,GEER)</f>
        <v>0</v>
      </c>
      <c r="Q77" s="32">
        <f ca="1">SUMIF(lines,$A77,doefed)</f>
        <v>0</v>
      </c>
      <c r="R77" s="32">
        <f ca="1">SUMIF(lines,$A77,adultfed)</f>
        <v>0</v>
      </c>
      <c r="S77" s="32">
        <f ca="1">SUMIF(lines,$A77,otherfed)</f>
        <v>0</v>
      </c>
      <c r="T77" s="33"/>
      <c r="U77" s="32">
        <f ca="1">SUMIF(lines,$A77,doestate)</f>
        <v>0</v>
      </c>
      <c r="V77" s="32">
        <f ca="1">SUMIF(lines,$A77,adultstate)</f>
        <v>0</v>
      </c>
      <c r="W77" s="32">
        <f ca="1">SUMIF(lines,$A77,otherstate)</f>
        <v>0</v>
      </c>
      <c r="X77" s="32">
        <f ca="1">SUMIF(lines,$A77,circuitbreaker)</f>
        <v>0</v>
      </c>
      <c r="Y77" s="32">
        <f ca="1">SUMIF(lines,$A77,private)</f>
        <v>0</v>
      </c>
      <c r="Z77" s="32">
        <f ca="1">SUMIF(lines,$A77,schchoice)</f>
        <v>0</v>
      </c>
      <c r="AA77" s="32">
        <f ca="1">SUMIF(lines,$A77,otherreceipts)</f>
        <v>0</v>
      </c>
      <c r="AB77" s="32">
        <f ca="1">ROUND(SUM(H77:AA77),0)</f>
        <v>0</v>
      </c>
    </row>
    <row r="78" spans="1:28" ht="12.75" customHeight="1">
      <c r="A78" s="31">
        <v>3479</v>
      </c>
      <c r="B78" s="34" t="s">
        <v>89</v>
      </c>
      <c r="C78" s="33"/>
      <c r="D78" s="33"/>
      <c r="E78" s="33"/>
      <c r="F78" s="33"/>
      <c r="G78" s="32">
        <f ca="1">ROUND(SUM(G75:G77),0)</f>
        <v>0</v>
      </c>
      <c r="H78" s="32">
        <f ca="1">ROUND(G78,0)</f>
        <v>0</v>
      </c>
      <c r="I78" s="32">
        <f t="shared" ref="I78:AA78" ca="1" si="126">ROUND(SUM(I75:I77),0)</f>
        <v>0</v>
      </c>
      <c r="J78" s="32">
        <f t="shared" ref="J78:P78" ca="1" si="127">ROUND(SUM(J75:J77),0)</f>
        <v>0</v>
      </c>
      <c r="K78" s="32">
        <f t="shared" ca="1" si="127"/>
        <v>0</v>
      </c>
      <c r="L78" s="32">
        <f t="shared" ca="1" si="127"/>
        <v>0</v>
      </c>
      <c r="M78" s="32">
        <f t="shared" ca="1" si="127"/>
        <v>0</v>
      </c>
      <c r="N78" s="32">
        <f t="shared" ca="1" si="127"/>
        <v>0</v>
      </c>
      <c r="O78" s="32">
        <f t="shared" ca="1" si="127"/>
        <v>0</v>
      </c>
      <c r="P78" s="32">
        <f t="shared" ca="1" si="127"/>
        <v>0</v>
      </c>
      <c r="Q78" s="32">
        <f t="shared" ca="1" si="126"/>
        <v>0</v>
      </c>
      <c r="R78" s="32">
        <f t="shared" ca="1" si="126"/>
        <v>0</v>
      </c>
      <c r="S78" s="32">
        <f ca="1">ROUND(SUM(S75:S77),0)</f>
        <v>0</v>
      </c>
      <c r="T78" s="33"/>
      <c r="U78" s="32">
        <f t="shared" ca="1" si="126"/>
        <v>0</v>
      </c>
      <c r="V78" s="32">
        <f t="shared" ca="1" si="126"/>
        <v>0</v>
      </c>
      <c r="W78" s="32">
        <f ca="1">ROUND(SUM(W75:W77),0)</f>
        <v>0</v>
      </c>
      <c r="X78" s="32">
        <f t="shared" ca="1" si="126"/>
        <v>0</v>
      </c>
      <c r="Y78" s="32">
        <f t="shared" ca="1" si="126"/>
        <v>0</v>
      </c>
      <c r="Z78" s="32">
        <f t="shared" ca="1" si="126"/>
        <v>0</v>
      </c>
      <c r="AA78" s="32">
        <f t="shared" ca="1" si="126"/>
        <v>0</v>
      </c>
      <c r="AB78" s="32">
        <f ca="1">ROUND(SUM(H78:AA78),0)</f>
        <v>0</v>
      </c>
    </row>
    <row r="79" spans="1:28" ht="12.75" customHeight="1">
      <c r="A79" s="36"/>
      <c r="B79" s="120" t="s">
        <v>112</v>
      </c>
      <c r="C79" s="137"/>
      <c r="D79" s="137"/>
      <c r="E79" s="137"/>
      <c r="F79" s="137"/>
      <c r="G79" s="137"/>
      <c r="H79" s="137"/>
      <c r="I79" s="137"/>
      <c r="J79" s="138"/>
      <c r="K79" s="138"/>
      <c r="L79" s="138"/>
      <c r="M79" s="138"/>
      <c r="N79" s="138"/>
      <c r="O79" s="138"/>
      <c r="P79" s="138"/>
      <c r="Q79" s="138"/>
      <c r="R79" s="138"/>
      <c r="S79" s="138"/>
      <c r="T79" s="30"/>
      <c r="U79" s="138"/>
      <c r="V79" s="138"/>
      <c r="W79" s="138"/>
      <c r="X79" s="138"/>
      <c r="Y79" s="138"/>
      <c r="Z79" s="138"/>
      <c r="AA79" s="138"/>
      <c r="AB79" s="138"/>
    </row>
    <row r="80" spans="1:28" ht="12.75" customHeight="1">
      <c r="A80" s="31">
        <v>3481</v>
      </c>
      <c r="B80" s="32" t="s">
        <v>86</v>
      </c>
      <c r="C80" s="32">
        <f ca="1">SUMIF(lines,$A80,day)</f>
        <v>0</v>
      </c>
      <c r="D80" s="32">
        <f ca="1">SUMIF(lines,$A80,special)</f>
        <v>0</v>
      </c>
      <c r="E80" s="32">
        <f ca="1">SUMIF(lines,$A80,occday)</f>
        <v>0</v>
      </c>
      <c r="F80" s="32">
        <f ca="1">SUMIF(lines,$A80,other)</f>
        <v>0</v>
      </c>
      <c r="G80" s="33"/>
      <c r="H80" s="32">
        <f ca="1">ROUND(SUM(C80:F80),0)</f>
        <v>0</v>
      </c>
      <c r="I80" s="33"/>
      <c r="J80" s="32">
        <f ca="1">SUMIF(lines,$A80,TitleI)</f>
        <v>0</v>
      </c>
      <c r="K80" s="32">
        <f ca="1">SUMIF(lines,$A80,IDEA)</f>
        <v>0</v>
      </c>
      <c r="L80" s="32">
        <f ca="1">SUMIF(lines,$A80,ESSERI)</f>
        <v>0</v>
      </c>
      <c r="M80" s="32">
        <f ca="1">SUMIF(lines,$A80,ESSERII)</f>
        <v>0</v>
      </c>
      <c r="N80" s="32">
        <f ca="1">SUMIF(lines,$A80,ESSERIII)</f>
        <v>0</v>
      </c>
      <c r="O80" s="32">
        <f ca="1">SUMIF(lines,$A80,ESSERG)</f>
        <v>0</v>
      </c>
      <c r="P80" s="32">
        <f ca="1">SUMIF(lines,$A80,GEER)</f>
        <v>0</v>
      </c>
      <c r="Q80" s="32">
        <f ca="1">SUMIF(lines,$A80,doefed)</f>
        <v>0</v>
      </c>
      <c r="R80" s="32">
        <f ca="1">SUMIF(lines,$A80,adultfed)</f>
        <v>0</v>
      </c>
      <c r="S80" s="32">
        <f ca="1">SUMIF(lines,$A80,otherfed)</f>
        <v>0</v>
      </c>
      <c r="T80" s="33"/>
      <c r="U80" s="32">
        <f ca="1">SUMIF(lines,$A80,doestate)</f>
        <v>0</v>
      </c>
      <c r="V80" s="32">
        <f ca="1">SUMIF(lines,$A80,adultstate)</f>
        <v>0</v>
      </c>
      <c r="W80" s="32">
        <f ca="1">SUMIF(lines,$A80,otherstate)</f>
        <v>0</v>
      </c>
      <c r="X80" s="32">
        <f ca="1">SUMIF(lines,$A80,circuitbreaker)</f>
        <v>0</v>
      </c>
      <c r="Y80" s="32">
        <f ca="1">SUMIF(lines,$A80,private)</f>
        <v>0</v>
      </c>
      <c r="Z80" s="32">
        <f ca="1">SUMIF(lines,$A80,schchoice)</f>
        <v>0</v>
      </c>
      <c r="AA80" s="32">
        <f ca="1">SUMIF(lines,$A80,otherreceipts)</f>
        <v>0</v>
      </c>
      <c r="AB80" s="32">
        <f ca="1">ROUND(SUM(H80:AA80),0)</f>
        <v>0</v>
      </c>
    </row>
    <row r="81" spans="1:28" ht="12.75" customHeight="1">
      <c r="A81" s="31">
        <v>3482</v>
      </c>
      <c r="B81" s="32" t="s">
        <v>87</v>
      </c>
      <c r="C81" s="32">
        <f ca="1">SUMIF(lines,$A81,day)</f>
        <v>0</v>
      </c>
      <c r="D81" s="32">
        <f ca="1">SUMIF(lines,$A81,special)</f>
        <v>0</v>
      </c>
      <c r="E81" s="32">
        <f ca="1">SUMIF(lines,$A81,occday)</f>
        <v>0</v>
      </c>
      <c r="F81" s="32">
        <f ca="1">SUMIF(lines,$A81,other)</f>
        <v>0</v>
      </c>
      <c r="G81" s="33"/>
      <c r="H81" s="32">
        <f ca="1">ROUND(SUM(C81:F81),0)</f>
        <v>0</v>
      </c>
      <c r="I81" s="33"/>
      <c r="J81" s="32">
        <f ca="1">SUMIF(lines,$A81,TitleI)</f>
        <v>0</v>
      </c>
      <c r="K81" s="32">
        <f ca="1">SUMIF(lines,$A81,IDEA)</f>
        <v>0</v>
      </c>
      <c r="L81" s="32">
        <f ca="1">SUMIF(lines,$A81,ESSERI)</f>
        <v>0</v>
      </c>
      <c r="M81" s="32">
        <f ca="1">SUMIF(lines,$A81,ESSERII)</f>
        <v>0</v>
      </c>
      <c r="N81" s="32">
        <f ca="1">SUMIF(lines,$A81,ESSERIII)</f>
        <v>0</v>
      </c>
      <c r="O81" s="32">
        <f ca="1">SUMIF(lines,$A81,ESSERG)</f>
        <v>0</v>
      </c>
      <c r="P81" s="32">
        <f ca="1">SUMIF(lines,$A81,GEER)</f>
        <v>0</v>
      </c>
      <c r="Q81" s="32">
        <f ca="1">SUMIF(lines,$A81,doefed)</f>
        <v>0</v>
      </c>
      <c r="R81" s="32">
        <f ca="1">SUMIF(lines,$A81,adultfed)</f>
        <v>0</v>
      </c>
      <c r="S81" s="32">
        <f ca="1">SUMIF(lines,$A81,otherfed)</f>
        <v>0</v>
      </c>
      <c r="T81" s="33"/>
      <c r="U81" s="32">
        <f ca="1">SUMIF(lines,$A81,doestate)</f>
        <v>0</v>
      </c>
      <c r="V81" s="32">
        <f ca="1">SUMIF(lines,$A81,adultstate)</f>
        <v>0</v>
      </c>
      <c r="W81" s="32">
        <f ca="1">SUMIF(lines,$A81,otherstate)</f>
        <v>0</v>
      </c>
      <c r="X81" s="32">
        <f ca="1">SUMIF(lines,$A81,circuitbreaker)</f>
        <v>0</v>
      </c>
      <c r="Y81" s="32">
        <f ca="1">SUMIF(lines,$A81,private)</f>
        <v>0</v>
      </c>
      <c r="Z81" s="32">
        <f ca="1">SUMIF(lines,$A81,schchoice)</f>
        <v>0</v>
      </c>
      <c r="AA81" s="32">
        <f ca="1">SUMIF(lines,$A81,otherreceipts)</f>
        <v>0</v>
      </c>
      <c r="AB81" s="32">
        <f ca="1">ROUND(SUM(H81:AA81),0)</f>
        <v>0</v>
      </c>
    </row>
    <row r="82" spans="1:28" ht="12.75" customHeight="1">
      <c r="A82" s="31">
        <v>3485</v>
      </c>
      <c r="B82" s="32" t="s">
        <v>88</v>
      </c>
      <c r="C82" s="32">
        <f ca="1">SUMIF(lines,$A82,day)</f>
        <v>0</v>
      </c>
      <c r="D82" s="32">
        <f ca="1">SUMIF(lines,$A82,special)</f>
        <v>0</v>
      </c>
      <c r="E82" s="32">
        <f ca="1">SUMIF(lines,$A82,occday)</f>
        <v>0</v>
      </c>
      <c r="F82" s="32">
        <f ca="1">SUMIF(lines,$A82,other)</f>
        <v>0</v>
      </c>
      <c r="G82" s="33"/>
      <c r="H82" s="32">
        <f ca="1">ROUND(SUM(C82:F82),0)</f>
        <v>0</v>
      </c>
      <c r="I82" s="33"/>
      <c r="J82" s="32">
        <f ca="1">SUMIF(lines,$A82,TitleI)</f>
        <v>0</v>
      </c>
      <c r="K82" s="32">
        <f ca="1">SUMIF(lines,$A82,IDEA)</f>
        <v>0</v>
      </c>
      <c r="L82" s="32">
        <f ca="1">SUMIF(lines,$A82,ESSERI)</f>
        <v>0</v>
      </c>
      <c r="M82" s="32">
        <f ca="1">SUMIF(lines,$A82,ESSERII)</f>
        <v>0</v>
      </c>
      <c r="N82" s="32">
        <f ca="1">SUMIF(lines,$A82,ESSERIII)</f>
        <v>0</v>
      </c>
      <c r="O82" s="32">
        <f ca="1">SUMIF(lines,$A82,ESSERG)</f>
        <v>0</v>
      </c>
      <c r="P82" s="32">
        <f ca="1">SUMIF(lines,$A82,GEER)</f>
        <v>0</v>
      </c>
      <c r="Q82" s="32">
        <f ca="1">SUMIF(lines,$A82,doefed)</f>
        <v>0</v>
      </c>
      <c r="R82" s="32">
        <f ca="1">SUMIF(lines,$A82,adultfed)</f>
        <v>0</v>
      </c>
      <c r="S82" s="32">
        <f ca="1">SUMIF(lines,$A82,otherfed)</f>
        <v>0</v>
      </c>
      <c r="T82" s="33"/>
      <c r="U82" s="32">
        <f ca="1">SUMIF(lines,$A82,doestate)</f>
        <v>0</v>
      </c>
      <c r="V82" s="32">
        <f ca="1">SUMIF(lines,$A82,adultstate)</f>
        <v>0</v>
      </c>
      <c r="W82" s="32">
        <f ca="1">SUMIF(lines,$A82,otherstate)</f>
        <v>0</v>
      </c>
      <c r="X82" s="32">
        <f ca="1">SUMIF(lines,$A82,circuitbreaker)</f>
        <v>0</v>
      </c>
      <c r="Y82" s="32">
        <f ca="1">SUMIF(lines,$A82,private)</f>
        <v>0</v>
      </c>
      <c r="Z82" s="32">
        <f ca="1">SUMIF(lines,$A82,schchoice)</f>
        <v>0</v>
      </c>
      <c r="AA82" s="32">
        <f ca="1">SUMIF(lines,$A82,otherreceipts)</f>
        <v>0</v>
      </c>
      <c r="AB82" s="32">
        <f ca="1">ROUND(SUM(H82:AA82),0)</f>
        <v>0</v>
      </c>
    </row>
    <row r="83" spans="1:28" ht="12.75" customHeight="1">
      <c r="A83" s="31">
        <v>3486</v>
      </c>
      <c r="B83" s="34" t="s">
        <v>89</v>
      </c>
      <c r="C83" s="32">
        <f ca="1">ROUND(SUM(C80:C82),0)</f>
        <v>0</v>
      </c>
      <c r="D83" s="32">
        <f ca="1">ROUND(SUM(D80:D82),0)</f>
        <v>0</v>
      </c>
      <c r="E83" s="32">
        <f ca="1">ROUND(SUM(E80:E82),0)</f>
        <v>0</v>
      </c>
      <c r="F83" s="32">
        <f ca="1">ROUND(SUM(F80:F82),0)</f>
        <v>0</v>
      </c>
      <c r="G83" s="33"/>
      <c r="H83" s="32">
        <f ca="1">ROUND(SUM(C83:F83),0)</f>
        <v>0</v>
      </c>
      <c r="I83" s="33"/>
      <c r="J83" s="32">
        <f t="shared" ref="J83:AA83" ca="1" si="128">ROUND(SUM(J80:J82),0)</f>
        <v>0</v>
      </c>
      <c r="K83" s="32">
        <f t="shared" ca="1" si="128"/>
        <v>0</v>
      </c>
      <c r="L83" s="32">
        <f t="shared" ca="1" si="128"/>
        <v>0</v>
      </c>
      <c r="M83" s="32">
        <f t="shared" ca="1" si="128"/>
        <v>0</v>
      </c>
      <c r="N83" s="32">
        <f t="shared" ca="1" si="128"/>
        <v>0</v>
      </c>
      <c r="O83" s="32">
        <f t="shared" ca="1" si="128"/>
        <v>0</v>
      </c>
      <c r="P83" s="32">
        <f ca="1">ROUND(SUM(P80:P82),0)</f>
        <v>0</v>
      </c>
      <c r="Q83" s="32">
        <f t="shared" ca="1" si="128"/>
        <v>0</v>
      </c>
      <c r="R83" s="32">
        <f t="shared" ca="1" si="128"/>
        <v>0</v>
      </c>
      <c r="S83" s="32">
        <f ca="1">ROUND(SUM(S80:S82),0)</f>
        <v>0</v>
      </c>
      <c r="T83" s="33"/>
      <c r="U83" s="32">
        <f t="shared" ca="1" si="128"/>
        <v>0</v>
      </c>
      <c r="V83" s="32">
        <f t="shared" ca="1" si="128"/>
        <v>0</v>
      </c>
      <c r="W83" s="32">
        <f ca="1">ROUND(SUM(W80:W82),0)</f>
        <v>0</v>
      </c>
      <c r="X83" s="32">
        <f t="shared" ca="1" si="128"/>
        <v>0</v>
      </c>
      <c r="Y83" s="32">
        <f t="shared" ca="1" si="128"/>
        <v>0</v>
      </c>
      <c r="Z83" s="32">
        <f t="shared" ca="1" si="128"/>
        <v>0</v>
      </c>
      <c r="AA83" s="32">
        <f t="shared" ca="1" si="128"/>
        <v>0</v>
      </c>
      <c r="AB83" s="32">
        <f ca="1">ROUND(SUM(H83:AA83),0)</f>
        <v>0</v>
      </c>
    </row>
    <row r="84" spans="1:28" ht="12.75" customHeight="1">
      <c r="A84" s="35"/>
      <c r="B84" s="120" t="s">
        <v>113</v>
      </c>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row>
    <row r="85" spans="1:28" ht="12.75" customHeight="1">
      <c r="A85" s="31">
        <v>3487</v>
      </c>
      <c r="B85" s="32" t="s">
        <v>91</v>
      </c>
      <c r="C85" s="33"/>
      <c r="D85" s="33"/>
      <c r="E85" s="33"/>
      <c r="F85" s="33"/>
      <c r="G85" s="32">
        <f t="shared" ref="G85:G90" ca="1" si="129">SUMIF(lines,$A85,undist)</f>
        <v>0</v>
      </c>
      <c r="H85" s="32">
        <f t="shared" ref="H85:H91" ca="1" si="130">ROUND(G85,0)</f>
        <v>0</v>
      </c>
      <c r="I85" s="33"/>
      <c r="J85" s="32">
        <f t="shared" ref="J85:J90" ca="1" si="131">SUMIF(lines,$A85,TitleI)</f>
        <v>0</v>
      </c>
      <c r="K85" s="32">
        <f t="shared" ref="K85:K90" ca="1" si="132">SUMIF(lines,$A85,IDEA)</f>
        <v>0</v>
      </c>
      <c r="L85" s="32">
        <f t="shared" ref="L85:L90" ca="1" si="133">SUMIF(lines,$A85,ESSERI)</f>
        <v>0</v>
      </c>
      <c r="M85" s="32">
        <f t="shared" ref="M85:M90" ca="1" si="134">SUMIF(lines,$A85,ESSERII)</f>
        <v>0</v>
      </c>
      <c r="N85" s="32">
        <f t="shared" ref="N85:N90" ca="1" si="135">SUMIF(lines,$A85,ESSERIII)</f>
        <v>0</v>
      </c>
      <c r="O85" s="32">
        <f t="shared" ref="O85:O90" ca="1" si="136">SUMIF(lines,$A85,ESSERG)</f>
        <v>0</v>
      </c>
      <c r="P85" s="32">
        <f t="shared" ref="P85:P90" ca="1" si="137">SUMIF(lines,$A85,GEER)</f>
        <v>0</v>
      </c>
      <c r="Q85" s="32">
        <f t="shared" ref="Q85:Q90" ca="1" si="138">SUMIF(lines,$A85,doefed)</f>
        <v>0</v>
      </c>
      <c r="R85" s="32">
        <f t="shared" ref="R85:R90" ca="1" si="139">SUMIF(lines,$A85,adultfed)</f>
        <v>0</v>
      </c>
      <c r="S85" s="32">
        <f t="shared" ref="S85:S90" ca="1" si="140">SUMIF(lines,$A85,otherfed)</f>
        <v>0</v>
      </c>
      <c r="T85" s="33"/>
      <c r="U85" s="32">
        <f t="shared" ref="U85:U90" ca="1" si="141">SUMIF(lines,$A85,doestate)</f>
        <v>0</v>
      </c>
      <c r="V85" s="32">
        <f t="shared" ref="V85:V90" ca="1" si="142">SUMIF(lines,$A85,adultstate)</f>
        <v>0</v>
      </c>
      <c r="W85" s="32">
        <f t="shared" ref="W85:W90" ca="1" si="143">SUMIF(lines,$A85,otherstate)</f>
        <v>0</v>
      </c>
      <c r="X85" s="32">
        <f t="shared" ref="X85:X90" ca="1" si="144">SUMIF(lines,$A85,circuitbreaker)</f>
        <v>0</v>
      </c>
      <c r="Y85" s="32">
        <f t="shared" ref="Y85:Y90" ca="1" si="145">SUMIF(lines,$A85,private)</f>
        <v>0</v>
      </c>
      <c r="Z85" s="32">
        <f t="shared" ref="Z85:Z90" ca="1" si="146">SUMIF(lines,$A85,schchoice)</f>
        <v>0</v>
      </c>
      <c r="AA85" s="32">
        <f t="shared" ref="AA85:AA90" ca="1" si="147">SUMIF(lines,$A85,otherreceipts)</f>
        <v>0</v>
      </c>
      <c r="AB85" s="32">
        <f t="shared" ref="AB85:AB91" ca="1" si="148">ROUND(SUM(H85:AA85),0)</f>
        <v>0</v>
      </c>
    </row>
    <row r="86" spans="1:28" ht="12.75" customHeight="1">
      <c r="A86" s="31">
        <v>3488</v>
      </c>
      <c r="B86" s="32" t="s">
        <v>84</v>
      </c>
      <c r="C86" s="33"/>
      <c r="D86" s="33"/>
      <c r="E86" s="33"/>
      <c r="F86" s="33"/>
      <c r="G86" s="32">
        <f t="shared" ca="1" si="129"/>
        <v>0</v>
      </c>
      <c r="H86" s="32">
        <f t="shared" ca="1" si="130"/>
        <v>0</v>
      </c>
      <c r="I86" s="33"/>
      <c r="J86" s="32">
        <f t="shared" ca="1" si="131"/>
        <v>0</v>
      </c>
      <c r="K86" s="32">
        <f t="shared" ca="1" si="132"/>
        <v>0</v>
      </c>
      <c r="L86" s="32">
        <f t="shared" ca="1" si="133"/>
        <v>0</v>
      </c>
      <c r="M86" s="32">
        <f t="shared" ca="1" si="134"/>
        <v>0</v>
      </c>
      <c r="N86" s="32">
        <f t="shared" ca="1" si="135"/>
        <v>0</v>
      </c>
      <c r="O86" s="32">
        <f t="shared" ca="1" si="136"/>
        <v>0</v>
      </c>
      <c r="P86" s="32">
        <f t="shared" ca="1" si="137"/>
        <v>0</v>
      </c>
      <c r="Q86" s="32">
        <f t="shared" ca="1" si="138"/>
        <v>0</v>
      </c>
      <c r="R86" s="32">
        <f t="shared" ca="1" si="139"/>
        <v>0</v>
      </c>
      <c r="S86" s="32">
        <f t="shared" ca="1" si="140"/>
        <v>0</v>
      </c>
      <c r="T86" s="33"/>
      <c r="U86" s="32">
        <f t="shared" ca="1" si="141"/>
        <v>0</v>
      </c>
      <c r="V86" s="32">
        <f t="shared" ca="1" si="142"/>
        <v>0</v>
      </c>
      <c r="W86" s="32">
        <f t="shared" ca="1" si="143"/>
        <v>0</v>
      </c>
      <c r="X86" s="32">
        <f t="shared" ca="1" si="144"/>
        <v>0</v>
      </c>
      <c r="Y86" s="32">
        <f t="shared" ca="1" si="145"/>
        <v>0</v>
      </c>
      <c r="Z86" s="32">
        <f t="shared" ca="1" si="146"/>
        <v>0</v>
      </c>
      <c r="AA86" s="32">
        <f t="shared" ca="1" si="147"/>
        <v>0</v>
      </c>
      <c r="AB86" s="32">
        <f t="shared" ca="1" si="148"/>
        <v>0</v>
      </c>
    </row>
    <row r="87" spans="1:28" ht="12.75" customHeight="1">
      <c r="A87" s="31">
        <v>3489</v>
      </c>
      <c r="B87" s="32" t="s">
        <v>85</v>
      </c>
      <c r="C87" s="33"/>
      <c r="D87" s="33"/>
      <c r="E87" s="33"/>
      <c r="F87" s="33"/>
      <c r="G87" s="32">
        <f t="shared" ca="1" si="129"/>
        <v>0</v>
      </c>
      <c r="H87" s="32">
        <f t="shared" ca="1" si="130"/>
        <v>0</v>
      </c>
      <c r="I87" s="33"/>
      <c r="J87" s="32">
        <f t="shared" ca="1" si="131"/>
        <v>0</v>
      </c>
      <c r="K87" s="32">
        <f t="shared" ca="1" si="132"/>
        <v>0</v>
      </c>
      <c r="L87" s="32">
        <f t="shared" ca="1" si="133"/>
        <v>0</v>
      </c>
      <c r="M87" s="32">
        <f t="shared" ca="1" si="134"/>
        <v>0</v>
      </c>
      <c r="N87" s="32">
        <f t="shared" ca="1" si="135"/>
        <v>0</v>
      </c>
      <c r="O87" s="32">
        <f t="shared" ca="1" si="136"/>
        <v>0</v>
      </c>
      <c r="P87" s="32">
        <f t="shared" ca="1" si="137"/>
        <v>0</v>
      </c>
      <c r="Q87" s="32">
        <f t="shared" ca="1" si="138"/>
        <v>0</v>
      </c>
      <c r="R87" s="32">
        <f t="shared" ca="1" si="139"/>
        <v>0</v>
      </c>
      <c r="S87" s="32">
        <f t="shared" ca="1" si="140"/>
        <v>0</v>
      </c>
      <c r="T87" s="33"/>
      <c r="U87" s="32">
        <f t="shared" ca="1" si="141"/>
        <v>0</v>
      </c>
      <c r="V87" s="32">
        <f t="shared" ca="1" si="142"/>
        <v>0</v>
      </c>
      <c r="W87" s="32">
        <f t="shared" ca="1" si="143"/>
        <v>0</v>
      </c>
      <c r="X87" s="32">
        <f t="shared" ca="1" si="144"/>
        <v>0</v>
      </c>
      <c r="Y87" s="32">
        <f t="shared" ca="1" si="145"/>
        <v>0</v>
      </c>
      <c r="Z87" s="32">
        <f t="shared" ca="1" si="146"/>
        <v>0</v>
      </c>
      <c r="AA87" s="32">
        <f t="shared" ca="1" si="147"/>
        <v>0</v>
      </c>
      <c r="AB87" s="32">
        <f t="shared" ca="1" si="148"/>
        <v>0</v>
      </c>
    </row>
    <row r="88" spans="1:28" ht="12.75" customHeight="1">
      <c r="A88" s="31">
        <v>3490</v>
      </c>
      <c r="B88" s="32" t="s">
        <v>86</v>
      </c>
      <c r="C88" s="33"/>
      <c r="D88" s="33"/>
      <c r="E88" s="33"/>
      <c r="F88" s="33"/>
      <c r="G88" s="32">
        <f t="shared" ca="1" si="129"/>
        <v>0</v>
      </c>
      <c r="H88" s="32">
        <f t="shared" ca="1" si="130"/>
        <v>0</v>
      </c>
      <c r="I88" s="33"/>
      <c r="J88" s="32">
        <f t="shared" ca="1" si="131"/>
        <v>0</v>
      </c>
      <c r="K88" s="32">
        <f t="shared" ca="1" si="132"/>
        <v>0</v>
      </c>
      <c r="L88" s="32">
        <f t="shared" ca="1" si="133"/>
        <v>0</v>
      </c>
      <c r="M88" s="32">
        <f t="shared" ca="1" si="134"/>
        <v>0</v>
      </c>
      <c r="N88" s="32">
        <f t="shared" ca="1" si="135"/>
        <v>0</v>
      </c>
      <c r="O88" s="32">
        <f t="shared" ca="1" si="136"/>
        <v>0</v>
      </c>
      <c r="P88" s="32">
        <f t="shared" ca="1" si="137"/>
        <v>0</v>
      </c>
      <c r="Q88" s="32">
        <f t="shared" ca="1" si="138"/>
        <v>0</v>
      </c>
      <c r="R88" s="32">
        <f t="shared" ca="1" si="139"/>
        <v>0</v>
      </c>
      <c r="S88" s="32">
        <f t="shared" ca="1" si="140"/>
        <v>0</v>
      </c>
      <c r="T88" s="33"/>
      <c r="U88" s="32">
        <f t="shared" ca="1" si="141"/>
        <v>0</v>
      </c>
      <c r="V88" s="32">
        <f t="shared" ca="1" si="142"/>
        <v>0</v>
      </c>
      <c r="W88" s="32">
        <f t="shared" ca="1" si="143"/>
        <v>0</v>
      </c>
      <c r="X88" s="32">
        <f t="shared" ca="1" si="144"/>
        <v>0</v>
      </c>
      <c r="Y88" s="32">
        <f t="shared" ca="1" si="145"/>
        <v>0</v>
      </c>
      <c r="Z88" s="32">
        <f t="shared" ca="1" si="146"/>
        <v>0</v>
      </c>
      <c r="AA88" s="32">
        <f t="shared" ca="1" si="147"/>
        <v>0</v>
      </c>
      <c r="AB88" s="32">
        <f t="shared" ca="1" si="148"/>
        <v>0</v>
      </c>
    </row>
    <row r="89" spans="1:28" ht="12.75" customHeight="1">
      <c r="A89" s="31">
        <v>3491</v>
      </c>
      <c r="B89" s="32" t="s">
        <v>87</v>
      </c>
      <c r="C89" s="33"/>
      <c r="D89" s="33"/>
      <c r="E89" s="33"/>
      <c r="F89" s="33"/>
      <c r="G89" s="32">
        <f t="shared" ca="1" si="129"/>
        <v>0</v>
      </c>
      <c r="H89" s="32">
        <f t="shared" ca="1" si="130"/>
        <v>0</v>
      </c>
      <c r="I89" s="33"/>
      <c r="J89" s="32">
        <f t="shared" ca="1" si="131"/>
        <v>0</v>
      </c>
      <c r="K89" s="32">
        <f t="shared" ca="1" si="132"/>
        <v>0</v>
      </c>
      <c r="L89" s="32">
        <f t="shared" ca="1" si="133"/>
        <v>0</v>
      </c>
      <c r="M89" s="32">
        <f t="shared" ca="1" si="134"/>
        <v>0</v>
      </c>
      <c r="N89" s="32">
        <f t="shared" ca="1" si="135"/>
        <v>0</v>
      </c>
      <c r="O89" s="32">
        <f t="shared" ca="1" si="136"/>
        <v>0</v>
      </c>
      <c r="P89" s="32">
        <f t="shared" ca="1" si="137"/>
        <v>0</v>
      </c>
      <c r="Q89" s="32">
        <f t="shared" ca="1" si="138"/>
        <v>0</v>
      </c>
      <c r="R89" s="32">
        <f t="shared" ca="1" si="139"/>
        <v>0</v>
      </c>
      <c r="S89" s="32">
        <f t="shared" ca="1" si="140"/>
        <v>0</v>
      </c>
      <c r="T89" s="33"/>
      <c r="U89" s="32">
        <f t="shared" ca="1" si="141"/>
        <v>0</v>
      </c>
      <c r="V89" s="32">
        <f t="shared" ca="1" si="142"/>
        <v>0</v>
      </c>
      <c r="W89" s="32">
        <f t="shared" ca="1" si="143"/>
        <v>0</v>
      </c>
      <c r="X89" s="32">
        <f t="shared" ca="1" si="144"/>
        <v>0</v>
      </c>
      <c r="Y89" s="32">
        <f t="shared" ca="1" si="145"/>
        <v>0</v>
      </c>
      <c r="Z89" s="32">
        <f t="shared" ca="1" si="146"/>
        <v>0</v>
      </c>
      <c r="AA89" s="32">
        <f t="shared" ca="1" si="147"/>
        <v>0</v>
      </c>
      <c r="AB89" s="32">
        <f t="shared" ca="1" si="148"/>
        <v>0</v>
      </c>
    </row>
    <row r="90" spans="1:28" ht="12.75" customHeight="1">
      <c r="A90" s="31">
        <v>3492</v>
      </c>
      <c r="B90" s="32" t="s">
        <v>88</v>
      </c>
      <c r="C90" s="33"/>
      <c r="D90" s="33"/>
      <c r="E90" s="33"/>
      <c r="F90" s="33"/>
      <c r="G90" s="32">
        <f t="shared" ca="1" si="129"/>
        <v>0</v>
      </c>
      <c r="H90" s="32">
        <f t="shared" ca="1" si="130"/>
        <v>0</v>
      </c>
      <c r="I90" s="33"/>
      <c r="J90" s="32">
        <f t="shared" ca="1" si="131"/>
        <v>0</v>
      </c>
      <c r="K90" s="32">
        <f t="shared" ca="1" si="132"/>
        <v>0</v>
      </c>
      <c r="L90" s="32">
        <f t="shared" ca="1" si="133"/>
        <v>0</v>
      </c>
      <c r="M90" s="32">
        <f t="shared" ca="1" si="134"/>
        <v>0</v>
      </c>
      <c r="N90" s="32">
        <f t="shared" ca="1" si="135"/>
        <v>0</v>
      </c>
      <c r="O90" s="32">
        <f t="shared" ca="1" si="136"/>
        <v>0</v>
      </c>
      <c r="P90" s="32">
        <f t="shared" ca="1" si="137"/>
        <v>0</v>
      </c>
      <c r="Q90" s="32">
        <f t="shared" ca="1" si="138"/>
        <v>0</v>
      </c>
      <c r="R90" s="32">
        <f t="shared" ca="1" si="139"/>
        <v>0</v>
      </c>
      <c r="S90" s="32">
        <f t="shared" ca="1" si="140"/>
        <v>0</v>
      </c>
      <c r="T90" s="33"/>
      <c r="U90" s="32">
        <f t="shared" ca="1" si="141"/>
        <v>0</v>
      </c>
      <c r="V90" s="32">
        <f t="shared" ca="1" si="142"/>
        <v>0</v>
      </c>
      <c r="W90" s="32">
        <f t="shared" ca="1" si="143"/>
        <v>0</v>
      </c>
      <c r="X90" s="32">
        <f t="shared" ca="1" si="144"/>
        <v>0</v>
      </c>
      <c r="Y90" s="32">
        <f t="shared" ca="1" si="145"/>
        <v>0</v>
      </c>
      <c r="Z90" s="32">
        <f t="shared" ca="1" si="146"/>
        <v>0</v>
      </c>
      <c r="AA90" s="32">
        <f t="shared" ca="1" si="147"/>
        <v>0</v>
      </c>
      <c r="AB90" s="32">
        <f t="shared" ca="1" si="148"/>
        <v>0</v>
      </c>
    </row>
    <row r="91" spans="1:28" ht="12.75" customHeight="1">
      <c r="A91" s="31">
        <v>3493</v>
      </c>
      <c r="B91" s="34" t="s">
        <v>89</v>
      </c>
      <c r="C91" s="33"/>
      <c r="D91" s="33"/>
      <c r="E91" s="33"/>
      <c r="F91" s="33"/>
      <c r="G91" s="32">
        <f ca="1">ROUND(SUM(G85:G90),0)</f>
        <v>0</v>
      </c>
      <c r="H91" s="32">
        <f t="shared" ca="1" si="130"/>
        <v>0</v>
      </c>
      <c r="I91" s="33"/>
      <c r="J91" s="32">
        <f t="shared" ref="J91:P91" ca="1" si="149">ROUND(SUM(J85:J90),0)</f>
        <v>0</v>
      </c>
      <c r="K91" s="32">
        <f t="shared" ca="1" si="149"/>
        <v>0</v>
      </c>
      <c r="L91" s="32">
        <f t="shared" ca="1" si="149"/>
        <v>0</v>
      </c>
      <c r="M91" s="32">
        <f t="shared" ca="1" si="149"/>
        <v>0</v>
      </c>
      <c r="N91" s="32">
        <f t="shared" ca="1" si="149"/>
        <v>0</v>
      </c>
      <c r="O91" s="32">
        <f t="shared" ca="1" si="149"/>
        <v>0</v>
      </c>
      <c r="P91" s="32">
        <f t="shared" ca="1" si="149"/>
        <v>0</v>
      </c>
      <c r="Q91" s="32">
        <f ca="1">ROUND(SUM(Q85:Q90),0)</f>
        <v>0</v>
      </c>
      <c r="R91" s="32">
        <f t="shared" ref="R91:AA91" ca="1" si="150">ROUND(SUM(R85:R90),0)</f>
        <v>0</v>
      </c>
      <c r="S91" s="32">
        <f ca="1">ROUND(SUM(S85:S90),0)</f>
        <v>0</v>
      </c>
      <c r="T91" s="33"/>
      <c r="U91" s="32">
        <f t="shared" ca="1" si="150"/>
        <v>0</v>
      </c>
      <c r="V91" s="32">
        <f t="shared" ca="1" si="150"/>
        <v>0</v>
      </c>
      <c r="W91" s="32">
        <f ca="1">ROUND(SUM(W85:W90),0)</f>
        <v>0</v>
      </c>
      <c r="X91" s="32">
        <f t="shared" ca="1" si="150"/>
        <v>0</v>
      </c>
      <c r="Y91" s="32">
        <f t="shared" ca="1" si="150"/>
        <v>0</v>
      </c>
      <c r="Z91" s="32">
        <f t="shared" ca="1" si="150"/>
        <v>0</v>
      </c>
      <c r="AA91" s="32">
        <f t="shared" ca="1" si="150"/>
        <v>0</v>
      </c>
      <c r="AB91" s="32">
        <f t="shared" ca="1" si="148"/>
        <v>0</v>
      </c>
    </row>
    <row r="92" spans="1:28" ht="12.75" customHeight="1">
      <c r="A92" s="35"/>
      <c r="B92" s="120" t="s">
        <v>114</v>
      </c>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row>
    <row r="93" spans="1:28" ht="12.75" customHeight="1">
      <c r="A93" s="31">
        <v>3494</v>
      </c>
      <c r="B93" s="32" t="s">
        <v>91</v>
      </c>
      <c r="C93" s="32">
        <f ca="1">SUMIF(lines,$A93,day)</f>
        <v>0</v>
      </c>
      <c r="D93" s="32">
        <f ca="1">SUMIF(lines,$A93,special)</f>
        <v>0</v>
      </c>
      <c r="E93" s="32">
        <f ca="1">SUMIF(lines,$A93,occday)</f>
        <v>0</v>
      </c>
      <c r="F93" s="32">
        <f ca="1">SUMIF(lines,$A93,other)</f>
        <v>0</v>
      </c>
      <c r="G93" s="33"/>
      <c r="H93" s="32">
        <f ca="1">ROUND(SUM(C93:F93),0)</f>
        <v>0</v>
      </c>
      <c r="I93" s="33"/>
      <c r="J93" s="32">
        <f ca="1">SUMIF(lines,$A93,TitleI)</f>
        <v>0</v>
      </c>
      <c r="K93" s="32">
        <f ca="1">SUMIF(lines,$A93,IDEA)</f>
        <v>0</v>
      </c>
      <c r="L93" s="32">
        <f ca="1">SUMIF(lines,$A93,ESSERI)</f>
        <v>0</v>
      </c>
      <c r="M93" s="32">
        <f ca="1">SUMIF(lines,$A93,ESSERII)</f>
        <v>0</v>
      </c>
      <c r="N93" s="32">
        <f ca="1">SUMIF(lines,$A93,ESSERIII)</f>
        <v>0</v>
      </c>
      <c r="O93" s="32">
        <f ca="1">SUMIF(lines,$A93,ESSERG)</f>
        <v>0</v>
      </c>
      <c r="P93" s="32">
        <f ca="1">SUMIF(lines,$A93,GEER)</f>
        <v>0</v>
      </c>
      <c r="Q93" s="32">
        <f ca="1">SUMIF(lines,$A93,doefed)</f>
        <v>0</v>
      </c>
      <c r="R93" s="32">
        <f ca="1">SUMIF(lines,$A93,adultfed)</f>
        <v>0</v>
      </c>
      <c r="S93" s="32">
        <f ca="1">SUMIF(lines,$A93,otherfed)</f>
        <v>0</v>
      </c>
      <c r="T93" s="33"/>
      <c r="U93" s="32">
        <f ca="1">SUMIF(lines,$A93,doestate)</f>
        <v>0</v>
      </c>
      <c r="V93" s="32">
        <f ca="1">SUMIF(lines,$A93,adultstate)</f>
        <v>0</v>
      </c>
      <c r="W93" s="32">
        <f ca="1">SUMIF(lines,$A93,otherstate)</f>
        <v>0</v>
      </c>
      <c r="X93" s="32">
        <f ca="1">SUMIF(lines,$A93,circuitbreaker)</f>
        <v>0</v>
      </c>
      <c r="Y93" s="32">
        <f ca="1">SUMIF(lines,$A93,private)</f>
        <v>0</v>
      </c>
      <c r="Z93" s="32">
        <f ca="1">SUMIF(lines,$A93,schchoice)</f>
        <v>0</v>
      </c>
      <c r="AA93" s="32">
        <f ca="1">SUMIF(lines,$A93,otherreceipts)</f>
        <v>0</v>
      </c>
      <c r="AB93" s="32">
        <f ca="1">ROUND(SUM(H93:AA93),0)</f>
        <v>0</v>
      </c>
    </row>
    <row r="94" spans="1:28" ht="12.75" customHeight="1">
      <c r="A94" s="31">
        <v>3495</v>
      </c>
      <c r="B94" s="32" t="s">
        <v>86</v>
      </c>
      <c r="C94" s="32">
        <f ca="1">SUMIF(lines,$A94,day)</f>
        <v>0</v>
      </c>
      <c r="D94" s="32">
        <f ca="1">SUMIF(lines,$A94,special)</f>
        <v>0</v>
      </c>
      <c r="E94" s="32">
        <f ca="1">SUMIF(lines,$A94,occday)</f>
        <v>0</v>
      </c>
      <c r="F94" s="32">
        <f ca="1">SUMIF(lines,$A94,other)</f>
        <v>0</v>
      </c>
      <c r="G94" s="33"/>
      <c r="H94" s="32">
        <f ca="1">ROUND(SUM(C94:F94),0)</f>
        <v>0</v>
      </c>
      <c r="I94" s="33"/>
      <c r="J94" s="32">
        <f ca="1">SUMIF(lines,$A94,TitleI)</f>
        <v>0</v>
      </c>
      <c r="K94" s="32">
        <f ca="1">SUMIF(lines,$A94,IDEA)</f>
        <v>0</v>
      </c>
      <c r="L94" s="32">
        <f ca="1">SUMIF(lines,$A94,ESSERI)</f>
        <v>0</v>
      </c>
      <c r="M94" s="32">
        <f ca="1">SUMIF(lines,$A94,ESSERII)</f>
        <v>0</v>
      </c>
      <c r="N94" s="32">
        <f ca="1">SUMIF(lines,$A94,ESSERIII)</f>
        <v>0</v>
      </c>
      <c r="O94" s="32">
        <f ca="1">SUMIF(lines,$A94,ESSERG)</f>
        <v>0</v>
      </c>
      <c r="P94" s="32">
        <f ca="1">SUMIF(lines,$A94,GEER)</f>
        <v>0</v>
      </c>
      <c r="Q94" s="32">
        <f ca="1">SUMIF(lines,$A94,doefed)</f>
        <v>0</v>
      </c>
      <c r="R94" s="32">
        <f ca="1">SUMIF(lines,$A94,adultfed)</f>
        <v>0</v>
      </c>
      <c r="S94" s="32">
        <f ca="1">SUMIF(lines,$A94,otherfed)</f>
        <v>0</v>
      </c>
      <c r="T94" s="33"/>
      <c r="U94" s="32">
        <f ca="1">SUMIF(lines,$A94,doestate)</f>
        <v>0</v>
      </c>
      <c r="V94" s="32">
        <f ca="1">SUMIF(lines,$A94,adultstate)</f>
        <v>0</v>
      </c>
      <c r="W94" s="32">
        <f ca="1">SUMIF(lines,$A94,otherstate)</f>
        <v>0</v>
      </c>
      <c r="X94" s="32">
        <f ca="1">SUMIF(lines,$A94,circuitbreaker)</f>
        <v>0</v>
      </c>
      <c r="Y94" s="32">
        <f ca="1">SUMIF(lines,$A94,private)</f>
        <v>0</v>
      </c>
      <c r="Z94" s="32">
        <f ca="1">SUMIF(lines,$A94,schchoice)</f>
        <v>0</v>
      </c>
      <c r="AA94" s="32">
        <f ca="1">SUMIF(lines,$A94,otherreceipts)</f>
        <v>0</v>
      </c>
      <c r="AB94" s="32">
        <f ca="1">ROUND(SUM(H94:AA94),0)</f>
        <v>0</v>
      </c>
    </row>
    <row r="95" spans="1:28" ht="12.75" customHeight="1">
      <c r="A95" s="31">
        <v>3496</v>
      </c>
      <c r="B95" s="32" t="s">
        <v>87</v>
      </c>
      <c r="C95" s="32">
        <f ca="1">SUMIF(lines,$A95,day)</f>
        <v>0</v>
      </c>
      <c r="D95" s="32">
        <f ca="1">SUMIF(lines,$A95,special)</f>
        <v>0</v>
      </c>
      <c r="E95" s="32">
        <f ca="1">SUMIF(lines,$A95,occday)</f>
        <v>0</v>
      </c>
      <c r="F95" s="32">
        <f ca="1">SUMIF(lines,$A95,other)</f>
        <v>0</v>
      </c>
      <c r="G95" s="33"/>
      <c r="H95" s="32">
        <f ca="1">ROUND(SUM(C95:F95),0)</f>
        <v>0</v>
      </c>
      <c r="I95" s="33"/>
      <c r="J95" s="32">
        <f ca="1">SUMIF(lines,$A95,TitleI)</f>
        <v>0</v>
      </c>
      <c r="K95" s="32">
        <f ca="1">SUMIF(lines,$A95,IDEA)</f>
        <v>0</v>
      </c>
      <c r="L95" s="32">
        <f ca="1">SUMIF(lines,$A95,ESSERI)</f>
        <v>0</v>
      </c>
      <c r="M95" s="32">
        <f ca="1">SUMIF(lines,$A95,ESSERII)</f>
        <v>0</v>
      </c>
      <c r="N95" s="32">
        <f ca="1">SUMIF(lines,$A95,ESSERIII)</f>
        <v>0</v>
      </c>
      <c r="O95" s="32">
        <f ca="1">SUMIF(lines,$A95,ESSERG)</f>
        <v>0</v>
      </c>
      <c r="P95" s="32">
        <f ca="1">SUMIF(lines,$A95,GEER)</f>
        <v>0</v>
      </c>
      <c r="Q95" s="32">
        <f ca="1">SUMIF(lines,$A95,doefed)</f>
        <v>0</v>
      </c>
      <c r="R95" s="32">
        <f ca="1">SUMIF(lines,$A95,adultfed)</f>
        <v>0</v>
      </c>
      <c r="S95" s="32">
        <f ca="1">SUMIF(lines,$A95,otherfed)</f>
        <v>0</v>
      </c>
      <c r="T95" s="33"/>
      <c r="U95" s="32">
        <f ca="1">SUMIF(lines,$A95,doestate)</f>
        <v>0</v>
      </c>
      <c r="V95" s="32">
        <f ca="1">SUMIF(lines,$A95,adultstate)</f>
        <v>0</v>
      </c>
      <c r="W95" s="32">
        <f ca="1">SUMIF(lines,$A95,otherstate)</f>
        <v>0</v>
      </c>
      <c r="X95" s="32">
        <f ca="1">SUMIF(lines,$A95,circuitbreaker)</f>
        <v>0</v>
      </c>
      <c r="Y95" s="32">
        <f ca="1">SUMIF(lines,$A95,private)</f>
        <v>0</v>
      </c>
      <c r="Z95" s="32">
        <f ca="1">SUMIF(lines,$A95,schchoice)</f>
        <v>0</v>
      </c>
      <c r="AA95" s="32">
        <f ca="1">SUMIF(lines,$A95,otherreceipts)</f>
        <v>0</v>
      </c>
      <c r="AB95" s="32">
        <f ca="1">ROUND(SUM(H95:AA95),0)</f>
        <v>0</v>
      </c>
    </row>
    <row r="96" spans="1:28" ht="12.75" customHeight="1">
      <c r="A96" s="31">
        <v>3497</v>
      </c>
      <c r="B96" s="32" t="s">
        <v>88</v>
      </c>
      <c r="C96" s="32">
        <f ca="1">SUMIF(lines,$A96,day)</f>
        <v>0</v>
      </c>
      <c r="D96" s="32">
        <f ca="1">SUMIF(lines,$A96,special)</f>
        <v>0</v>
      </c>
      <c r="E96" s="32">
        <f ca="1">SUMIF(lines,$A96,occday)</f>
        <v>0</v>
      </c>
      <c r="F96" s="32">
        <f ca="1">SUMIF(lines,$A96,other)</f>
        <v>0</v>
      </c>
      <c r="G96" s="33"/>
      <c r="H96" s="32">
        <f ca="1">ROUND(SUM(C96:F96),0)</f>
        <v>0</v>
      </c>
      <c r="I96" s="33"/>
      <c r="J96" s="32">
        <f ca="1">SUMIF(lines,$A96,TitleI)</f>
        <v>0</v>
      </c>
      <c r="K96" s="32">
        <f ca="1">SUMIF(lines,$A96,IDEA)</f>
        <v>0</v>
      </c>
      <c r="L96" s="32">
        <f ca="1">SUMIF(lines,$A96,ESSERI)</f>
        <v>0</v>
      </c>
      <c r="M96" s="32">
        <f ca="1">SUMIF(lines,$A96,ESSERII)</f>
        <v>0</v>
      </c>
      <c r="N96" s="32">
        <f ca="1">SUMIF(lines,$A96,ESSERIII)</f>
        <v>0</v>
      </c>
      <c r="O96" s="32">
        <f ca="1">SUMIF(lines,$A96,ESSERG)</f>
        <v>0</v>
      </c>
      <c r="P96" s="32">
        <f ca="1">SUMIF(lines,$A96,GEER)</f>
        <v>0</v>
      </c>
      <c r="Q96" s="32">
        <f ca="1">SUMIF(lines,$A96,doefed)</f>
        <v>0</v>
      </c>
      <c r="R96" s="32">
        <f ca="1">SUMIF(lines,$A96,adultfed)</f>
        <v>0</v>
      </c>
      <c r="S96" s="32">
        <f ca="1">SUMIF(lines,$A96,otherfed)</f>
        <v>0</v>
      </c>
      <c r="T96" s="33"/>
      <c r="U96" s="32">
        <f ca="1">SUMIF(lines,$A96,doestate)</f>
        <v>0</v>
      </c>
      <c r="V96" s="32">
        <f ca="1">SUMIF(lines,$A96,adultstate)</f>
        <v>0</v>
      </c>
      <c r="W96" s="32">
        <f ca="1">SUMIF(lines,$A96,otherstate)</f>
        <v>0</v>
      </c>
      <c r="X96" s="32">
        <f ca="1">SUMIF(lines,$A96,circuitbreaker)</f>
        <v>0</v>
      </c>
      <c r="Y96" s="32">
        <f ca="1">SUMIF(lines,$A96,private)</f>
        <v>0</v>
      </c>
      <c r="Z96" s="32">
        <f ca="1">SUMIF(lines,$A96,schchoice)</f>
        <v>0</v>
      </c>
      <c r="AA96" s="32">
        <f ca="1">SUMIF(lines,$A96,otherreceipts)</f>
        <v>0</v>
      </c>
      <c r="AB96" s="32">
        <f ca="1">ROUND(SUM(H96:AA96),0)</f>
        <v>0</v>
      </c>
    </row>
    <row r="97" spans="1:28" ht="12.75" customHeight="1">
      <c r="A97" s="31">
        <v>3498</v>
      </c>
      <c r="B97" s="34" t="s">
        <v>89</v>
      </c>
      <c r="C97" s="32">
        <f ca="1">ROUND(SUM(C93:C96),0)</f>
        <v>0</v>
      </c>
      <c r="D97" s="32">
        <f ca="1">ROUND(SUM(D93:D96),0)</f>
        <v>0</v>
      </c>
      <c r="E97" s="32">
        <f ca="1">ROUND(SUM(E93:E96),0)</f>
        <v>0</v>
      </c>
      <c r="F97" s="32">
        <f ca="1">ROUND(SUM(F93:F96),0)</f>
        <v>0</v>
      </c>
      <c r="G97" s="33"/>
      <c r="H97" s="32">
        <f ca="1">ROUND(SUM(C97:F97),0)</f>
        <v>0</v>
      </c>
      <c r="I97" s="33"/>
      <c r="J97" s="32">
        <f t="shared" ref="J97:AA97" ca="1" si="151">ROUND(SUM(J93:J96),0)</f>
        <v>0</v>
      </c>
      <c r="K97" s="32">
        <f t="shared" ca="1" si="151"/>
        <v>0</v>
      </c>
      <c r="L97" s="32">
        <f t="shared" ca="1" si="151"/>
        <v>0</v>
      </c>
      <c r="M97" s="32">
        <f t="shared" ca="1" si="151"/>
        <v>0</v>
      </c>
      <c r="N97" s="32">
        <f t="shared" ca="1" si="151"/>
        <v>0</v>
      </c>
      <c r="O97" s="32">
        <f t="shared" ca="1" si="151"/>
        <v>0</v>
      </c>
      <c r="P97" s="32">
        <f ca="1">ROUND(SUM(P93:P96),0)</f>
        <v>0</v>
      </c>
      <c r="Q97" s="32">
        <f t="shared" ca="1" si="151"/>
        <v>0</v>
      </c>
      <c r="R97" s="32">
        <f t="shared" ca="1" si="151"/>
        <v>0</v>
      </c>
      <c r="S97" s="32">
        <f ca="1">ROUND(SUM(S93:S96),0)</f>
        <v>0</v>
      </c>
      <c r="T97" s="33"/>
      <c r="U97" s="32">
        <f t="shared" ca="1" si="151"/>
        <v>0</v>
      </c>
      <c r="V97" s="32">
        <f t="shared" ca="1" si="151"/>
        <v>0</v>
      </c>
      <c r="W97" s="32">
        <f ca="1">ROUND(SUM(W93:W96),0)</f>
        <v>0</v>
      </c>
      <c r="X97" s="32">
        <f t="shared" ca="1" si="151"/>
        <v>0</v>
      </c>
      <c r="Y97" s="32">
        <f t="shared" ca="1" si="151"/>
        <v>0</v>
      </c>
      <c r="Z97" s="32">
        <f t="shared" ca="1" si="151"/>
        <v>0</v>
      </c>
      <c r="AA97" s="32">
        <f t="shared" ca="1" si="151"/>
        <v>0</v>
      </c>
      <c r="AB97" s="32">
        <f ca="1">ROUND(SUM(H97:AA97),0)</f>
        <v>0</v>
      </c>
    </row>
    <row r="98" spans="1:28" ht="12.75" customHeight="1">
      <c r="A98" s="35"/>
      <c r="B98" s="120" t="s">
        <v>115</v>
      </c>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row>
    <row r="99" spans="1:28" ht="12.75" customHeight="1">
      <c r="A99" s="31">
        <v>3499</v>
      </c>
      <c r="B99" s="32" t="s">
        <v>91</v>
      </c>
      <c r="C99" s="32">
        <f ca="1">SUMIF(lines,$A99,day)</f>
        <v>0</v>
      </c>
      <c r="D99" s="32">
        <f ca="1">SUMIF(lines,$A99,special)</f>
        <v>0</v>
      </c>
      <c r="E99" s="32">
        <f ca="1">SUMIF(lines,$A99,occday)</f>
        <v>0</v>
      </c>
      <c r="F99" s="32">
        <f ca="1">SUMIF(lines,$A99,other)</f>
        <v>0</v>
      </c>
      <c r="G99" s="33"/>
      <c r="H99" s="32">
        <f ca="1">ROUND(SUM(C99:F99),0)</f>
        <v>0</v>
      </c>
      <c r="I99" s="33"/>
      <c r="J99" s="32">
        <f ca="1">SUMIF(lines,$A99,TitleI)</f>
        <v>0</v>
      </c>
      <c r="K99" s="32">
        <f ca="1">SUMIF(lines,$A99,IDEA)</f>
        <v>0</v>
      </c>
      <c r="L99" s="32">
        <f ca="1">SUMIF(lines,$A99,ESSERI)</f>
        <v>0</v>
      </c>
      <c r="M99" s="32">
        <f ca="1">SUMIF(lines,$A99,ESSERII)</f>
        <v>0</v>
      </c>
      <c r="N99" s="32">
        <f ca="1">SUMIF(lines,$A99,ESSERIII)</f>
        <v>0</v>
      </c>
      <c r="O99" s="32">
        <f ca="1">SUMIF(lines,$A99,ESSERG)</f>
        <v>0</v>
      </c>
      <c r="P99" s="32">
        <f ca="1">SUMIF(lines,$A99,GEER)</f>
        <v>0</v>
      </c>
      <c r="Q99" s="32">
        <f ca="1">SUMIF(lines,$A99,doefed)</f>
        <v>0</v>
      </c>
      <c r="R99" s="32">
        <f ca="1">SUMIF(lines,$A99,adultfed)</f>
        <v>0</v>
      </c>
      <c r="S99" s="32">
        <f ca="1">SUMIF(lines,$A99,otherfed)</f>
        <v>0</v>
      </c>
      <c r="T99" s="33"/>
      <c r="U99" s="32">
        <f ca="1">SUMIF(lines,$A99,doestate)</f>
        <v>0</v>
      </c>
      <c r="V99" s="32">
        <f ca="1">SUMIF(lines,$A99,adultstate)</f>
        <v>0</v>
      </c>
      <c r="W99" s="32">
        <f ca="1">SUMIF(lines,$A99,otherstate)</f>
        <v>0</v>
      </c>
      <c r="X99" s="32">
        <f ca="1">SUMIF(lines,$A99,circuitbreaker)</f>
        <v>0</v>
      </c>
      <c r="Y99" s="32">
        <f ca="1">SUMIF(lines,$A99,private)</f>
        <v>0</v>
      </c>
      <c r="Z99" s="32">
        <f ca="1">SUMIF(lines,$A99,schchoice)</f>
        <v>0</v>
      </c>
      <c r="AA99" s="32">
        <f ca="1">SUMIF(lines,$A99,otherreceipts)</f>
        <v>0</v>
      </c>
      <c r="AB99" s="32">
        <f ca="1">ROUND(SUM(H99:AA99),0)</f>
        <v>0</v>
      </c>
    </row>
    <row r="100" spans="1:28" ht="12.75" customHeight="1">
      <c r="A100" s="35"/>
      <c r="B100" s="120" t="s">
        <v>116</v>
      </c>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row>
    <row r="101" spans="1:28" ht="12.75" customHeight="1">
      <c r="A101" s="31">
        <v>3501</v>
      </c>
      <c r="B101" s="32" t="s">
        <v>91</v>
      </c>
      <c r="C101" s="32">
        <f ca="1">SUMIF(lines,$A101,day)</f>
        <v>0</v>
      </c>
      <c r="D101" s="32">
        <f ca="1">SUMIF(lines,$A101,special)</f>
        <v>0</v>
      </c>
      <c r="E101" s="32">
        <f ca="1">SUMIF(lines,$A101,occday)</f>
        <v>0</v>
      </c>
      <c r="F101" s="32">
        <f ca="1">SUMIF(lines,$A101,other)</f>
        <v>0</v>
      </c>
      <c r="G101" s="33"/>
      <c r="H101" s="32">
        <f ca="1">ROUND(SUM(C101:F101),0)</f>
        <v>0</v>
      </c>
      <c r="I101" s="33"/>
      <c r="J101" s="32">
        <f ca="1">SUMIF(lines,$A101,TitleI)</f>
        <v>0</v>
      </c>
      <c r="K101" s="32">
        <f ca="1">SUMIF(lines,$A101,IDEA)</f>
        <v>0</v>
      </c>
      <c r="L101" s="32">
        <f ca="1">SUMIF(lines,$A101,ESSERI)</f>
        <v>0</v>
      </c>
      <c r="M101" s="32">
        <f ca="1">SUMIF(lines,$A101,ESSERII)</f>
        <v>0</v>
      </c>
      <c r="N101" s="32">
        <f ca="1">SUMIF(lines,$A101,ESSERIII)</f>
        <v>0</v>
      </c>
      <c r="O101" s="32">
        <f ca="1">SUMIF(lines,$A101,ESSERG)</f>
        <v>0</v>
      </c>
      <c r="P101" s="32">
        <f ca="1">SUMIF(lines,$A101,GEER)</f>
        <v>0</v>
      </c>
      <c r="Q101" s="32">
        <f ca="1">SUMIF(lines,$A101,doefed)</f>
        <v>0</v>
      </c>
      <c r="R101" s="32">
        <f ca="1">SUMIF(lines,$A101,adultfed)</f>
        <v>0</v>
      </c>
      <c r="S101" s="32">
        <f ca="1">SUMIF(lines,$A101,otherfed)</f>
        <v>0</v>
      </c>
      <c r="T101" s="33"/>
      <c r="U101" s="32">
        <f ca="1">SUMIF(lines,$A101,doestate)</f>
        <v>0</v>
      </c>
      <c r="V101" s="32">
        <f ca="1">SUMIF(lines,$A101,adultstate)</f>
        <v>0</v>
      </c>
      <c r="W101" s="32">
        <f ca="1">SUMIF(lines,$A101,otherstate)</f>
        <v>0</v>
      </c>
      <c r="X101" s="32">
        <f ca="1">SUMIF(lines,$A101,circuitbreaker)</f>
        <v>0</v>
      </c>
      <c r="Y101" s="32">
        <f ca="1">SUMIF(lines,$A101,private)</f>
        <v>0</v>
      </c>
      <c r="Z101" s="32">
        <f ca="1">SUMIF(lines,$A101,schchoice)</f>
        <v>0</v>
      </c>
      <c r="AA101" s="32">
        <f ca="1">SUMIF(lines,$A101,otherreceipts)</f>
        <v>0</v>
      </c>
      <c r="AB101" s="32">
        <f ca="1">ROUND(SUM(H101:AA101),0)</f>
        <v>0</v>
      </c>
    </row>
    <row r="102" spans="1:28" ht="12.75" customHeight="1">
      <c r="A102" s="31">
        <v>3502</v>
      </c>
      <c r="B102" s="32" t="s">
        <v>85</v>
      </c>
      <c r="C102" s="32">
        <f ca="1">SUMIF(lines,$A102,day)</f>
        <v>0</v>
      </c>
      <c r="D102" s="32">
        <f ca="1">SUMIF(lines,$A102,special)</f>
        <v>0</v>
      </c>
      <c r="E102" s="32">
        <f ca="1">SUMIF(lines,$A102,occday)</f>
        <v>0</v>
      </c>
      <c r="F102" s="32">
        <f ca="1">SUMIF(lines,$A102,other)</f>
        <v>0</v>
      </c>
      <c r="G102" s="33"/>
      <c r="H102" s="32">
        <f ca="1">ROUND(SUM(C102:F102),0)</f>
        <v>0</v>
      </c>
      <c r="I102" s="33"/>
      <c r="J102" s="32">
        <f ca="1">SUMIF(lines,$A102,TitleI)</f>
        <v>0</v>
      </c>
      <c r="K102" s="32">
        <f ca="1">SUMIF(lines,$A102,IDEA)</f>
        <v>0</v>
      </c>
      <c r="L102" s="32">
        <f ca="1">SUMIF(lines,$A102,ESSERI)</f>
        <v>0</v>
      </c>
      <c r="M102" s="32">
        <f ca="1">SUMIF(lines,$A102,ESSERII)</f>
        <v>0</v>
      </c>
      <c r="N102" s="32">
        <f ca="1">SUMIF(lines,$A102,ESSERIII)</f>
        <v>0</v>
      </c>
      <c r="O102" s="32">
        <f ca="1">SUMIF(lines,$A102,ESSERG)</f>
        <v>0</v>
      </c>
      <c r="P102" s="32">
        <f ca="1">SUMIF(lines,$A102,GEER)</f>
        <v>0</v>
      </c>
      <c r="Q102" s="32">
        <f ca="1">SUMIF(lines,$A102,doefed)</f>
        <v>0</v>
      </c>
      <c r="R102" s="32">
        <f ca="1">SUMIF(lines,$A102,adultfed)</f>
        <v>0</v>
      </c>
      <c r="S102" s="32">
        <f ca="1">SUMIF(lines,$A102,otherfed)</f>
        <v>0</v>
      </c>
      <c r="T102" s="33"/>
      <c r="U102" s="32">
        <f ca="1">SUMIF(lines,$A102,doestate)</f>
        <v>0</v>
      </c>
      <c r="V102" s="32">
        <f ca="1">SUMIF(lines,$A102,adultstate)</f>
        <v>0</v>
      </c>
      <c r="W102" s="32">
        <f ca="1">SUMIF(lines,$A102,otherstate)</f>
        <v>0</v>
      </c>
      <c r="X102" s="32">
        <f ca="1">SUMIF(lines,$A102,circuitbreaker)</f>
        <v>0</v>
      </c>
      <c r="Y102" s="32">
        <f ca="1">SUMIF(lines,$A102,private)</f>
        <v>0</v>
      </c>
      <c r="Z102" s="32">
        <f ca="1">SUMIF(lines,$A102,schchoice)</f>
        <v>0</v>
      </c>
      <c r="AA102" s="32">
        <f ca="1">SUMIF(lines,$A102,otherreceipts)</f>
        <v>0</v>
      </c>
      <c r="AB102" s="32">
        <f ca="1">ROUND(SUM(H102:AA102),0)</f>
        <v>0</v>
      </c>
    </row>
    <row r="103" spans="1:28" ht="12.75" customHeight="1">
      <c r="A103" s="31">
        <v>3503</v>
      </c>
      <c r="B103" s="32" t="s">
        <v>87</v>
      </c>
      <c r="C103" s="32">
        <f ca="1">SUMIF(lines,$A103,day)</f>
        <v>0</v>
      </c>
      <c r="D103" s="32">
        <f ca="1">SUMIF(lines,$A103,special)</f>
        <v>0</v>
      </c>
      <c r="E103" s="32">
        <f ca="1">SUMIF(lines,$A103,occday)</f>
        <v>0</v>
      </c>
      <c r="F103" s="32">
        <f ca="1">SUMIF(lines,$A103,other)</f>
        <v>0</v>
      </c>
      <c r="G103" s="33"/>
      <c r="H103" s="32">
        <f ca="1">ROUND(SUM(C103:F103),0)</f>
        <v>0</v>
      </c>
      <c r="I103" s="33"/>
      <c r="J103" s="32">
        <f ca="1">SUMIF(lines,$A103,TitleI)</f>
        <v>0</v>
      </c>
      <c r="K103" s="32">
        <f ca="1">SUMIF(lines,$A103,IDEA)</f>
        <v>0</v>
      </c>
      <c r="L103" s="32">
        <f ca="1">SUMIF(lines,$A103,ESSERI)</f>
        <v>0</v>
      </c>
      <c r="M103" s="32">
        <f ca="1">SUMIF(lines,$A103,ESSERII)</f>
        <v>0</v>
      </c>
      <c r="N103" s="32">
        <f ca="1">SUMIF(lines,$A103,ESSERIII)</f>
        <v>0</v>
      </c>
      <c r="O103" s="32">
        <f ca="1">SUMIF(lines,$A103,ESSERG)</f>
        <v>0</v>
      </c>
      <c r="P103" s="32">
        <f ca="1">SUMIF(lines,$A103,GEER)</f>
        <v>0</v>
      </c>
      <c r="Q103" s="32">
        <f ca="1">SUMIF(lines,$A103,doefed)</f>
        <v>0</v>
      </c>
      <c r="R103" s="32">
        <f ca="1">SUMIF(lines,$A103,adultfed)</f>
        <v>0</v>
      </c>
      <c r="S103" s="32">
        <f ca="1">SUMIF(lines,$A103,otherfed)</f>
        <v>0</v>
      </c>
      <c r="T103" s="33"/>
      <c r="U103" s="32">
        <f ca="1">SUMIF(lines,$A103,doestate)</f>
        <v>0</v>
      </c>
      <c r="V103" s="32">
        <f ca="1">SUMIF(lines,$A103,adultstate)</f>
        <v>0</v>
      </c>
      <c r="W103" s="32">
        <f ca="1">SUMIF(lines,$A103,otherstate)</f>
        <v>0</v>
      </c>
      <c r="X103" s="32">
        <f ca="1">SUMIF(lines,$A103,circuitbreaker)</f>
        <v>0</v>
      </c>
      <c r="Y103" s="32">
        <f ca="1">SUMIF(lines,$A103,private)</f>
        <v>0</v>
      </c>
      <c r="Z103" s="32">
        <f ca="1">SUMIF(lines,$A103,schchoice)</f>
        <v>0</v>
      </c>
      <c r="AA103" s="32">
        <f ca="1">SUMIF(lines,$A103,otherreceipts)</f>
        <v>0</v>
      </c>
      <c r="AB103" s="32">
        <f ca="1">ROUND(SUM(H103:AA103),0)</f>
        <v>0</v>
      </c>
    </row>
    <row r="104" spans="1:28" ht="12.75" customHeight="1">
      <c r="A104" s="31">
        <v>3504</v>
      </c>
      <c r="B104" s="32" t="s">
        <v>88</v>
      </c>
      <c r="C104" s="32">
        <f ca="1">SUMIF(lines,$A104,day)</f>
        <v>0</v>
      </c>
      <c r="D104" s="32">
        <f ca="1">SUMIF(lines,$A104,special)</f>
        <v>0</v>
      </c>
      <c r="E104" s="32">
        <f ca="1">SUMIF(lines,$A104,occday)</f>
        <v>0</v>
      </c>
      <c r="F104" s="32">
        <f ca="1">SUMIF(lines,$A104,other)</f>
        <v>0</v>
      </c>
      <c r="G104" s="33"/>
      <c r="H104" s="32">
        <f ca="1">ROUND(SUM(C104:F104),0)</f>
        <v>0</v>
      </c>
      <c r="I104" s="33"/>
      <c r="J104" s="32">
        <f ca="1">SUMIF(lines,$A104,TitleI)</f>
        <v>0</v>
      </c>
      <c r="K104" s="32">
        <f ca="1">SUMIF(lines,$A104,IDEA)</f>
        <v>0</v>
      </c>
      <c r="L104" s="32">
        <f ca="1">SUMIF(lines,$A104,ESSERI)</f>
        <v>0</v>
      </c>
      <c r="M104" s="32">
        <f ca="1">SUMIF(lines,$A104,ESSERII)</f>
        <v>0</v>
      </c>
      <c r="N104" s="32">
        <f ca="1">SUMIF(lines,$A104,ESSERIII)</f>
        <v>0</v>
      </c>
      <c r="O104" s="32">
        <f ca="1">SUMIF(lines,$A104,ESSERG)</f>
        <v>0</v>
      </c>
      <c r="P104" s="32">
        <f ca="1">SUMIF(lines,$A104,GEER)</f>
        <v>0</v>
      </c>
      <c r="Q104" s="32">
        <f ca="1">SUMIF(lines,$A104,doefed)</f>
        <v>0</v>
      </c>
      <c r="R104" s="32">
        <f ca="1">SUMIF(lines,$A104,adultfed)</f>
        <v>0</v>
      </c>
      <c r="S104" s="32">
        <f ca="1">SUMIF(lines,$A104,otherfed)</f>
        <v>0</v>
      </c>
      <c r="T104" s="33"/>
      <c r="U104" s="32">
        <f ca="1">SUMIF(lines,$A104,doestate)</f>
        <v>0</v>
      </c>
      <c r="V104" s="32">
        <f ca="1">SUMIF(lines,$A104,adultstate)</f>
        <v>0</v>
      </c>
      <c r="W104" s="32">
        <f ca="1">SUMIF(lines,$A104,otherstate)</f>
        <v>0</v>
      </c>
      <c r="X104" s="32">
        <f ca="1">SUMIF(lines,$A104,circuitbreaker)</f>
        <v>0</v>
      </c>
      <c r="Y104" s="32">
        <f ca="1">SUMIF(lines,$A104,private)</f>
        <v>0</v>
      </c>
      <c r="Z104" s="32">
        <f ca="1">SUMIF(lines,$A104,schchoice)</f>
        <v>0</v>
      </c>
      <c r="AA104" s="32">
        <f ca="1">SUMIF(lines,$A104,otherreceipts)</f>
        <v>0</v>
      </c>
      <c r="AB104" s="32">
        <f ca="1">ROUND(SUM(H104:AA104),0)</f>
        <v>0</v>
      </c>
    </row>
    <row r="105" spans="1:28" ht="12.75" customHeight="1">
      <c r="A105" s="31">
        <v>3505</v>
      </c>
      <c r="B105" s="34" t="s">
        <v>89</v>
      </c>
      <c r="C105" s="32">
        <f ca="1">ROUND(SUM(C101:C104),0)</f>
        <v>0</v>
      </c>
      <c r="D105" s="32">
        <f ca="1">ROUND(SUM(D101:D104),0)</f>
        <v>0</v>
      </c>
      <c r="E105" s="32">
        <f ca="1">ROUND(SUM(E101:E104),0)</f>
        <v>0</v>
      </c>
      <c r="F105" s="32">
        <f ca="1">ROUND(SUM(F101:F104),0)</f>
        <v>0</v>
      </c>
      <c r="G105" s="33"/>
      <c r="H105" s="32">
        <f ca="1">ROUND(SUM(C105:F105),0)</f>
        <v>0</v>
      </c>
      <c r="I105" s="33"/>
      <c r="J105" s="32">
        <f t="shared" ref="J105:P105" ca="1" si="152">ROUND(SUM(J101:J104),0)</f>
        <v>0</v>
      </c>
      <c r="K105" s="32">
        <f t="shared" ca="1" si="152"/>
        <v>0</v>
      </c>
      <c r="L105" s="32">
        <f t="shared" ca="1" si="152"/>
        <v>0</v>
      </c>
      <c r="M105" s="32">
        <f t="shared" ca="1" si="152"/>
        <v>0</v>
      </c>
      <c r="N105" s="32">
        <f t="shared" ca="1" si="152"/>
        <v>0</v>
      </c>
      <c r="O105" s="32">
        <f t="shared" ca="1" si="152"/>
        <v>0</v>
      </c>
      <c r="P105" s="32">
        <f t="shared" ca="1" si="152"/>
        <v>0</v>
      </c>
      <c r="Q105" s="32">
        <f t="shared" ref="Q105:Z105" ca="1" si="153">ROUND(SUM(Q101:Q104),0)</f>
        <v>0</v>
      </c>
      <c r="R105" s="32">
        <f t="shared" ca="1" si="153"/>
        <v>0</v>
      </c>
      <c r="S105" s="32">
        <f ca="1">ROUND(SUM(S101:S104),0)</f>
        <v>0</v>
      </c>
      <c r="T105" s="33"/>
      <c r="U105" s="32">
        <f t="shared" ca="1" si="153"/>
        <v>0</v>
      </c>
      <c r="V105" s="32">
        <f t="shared" ca="1" si="153"/>
        <v>0</v>
      </c>
      <c r="W105" s="32">
        <f ca="1">ROUND(SUM(W101:W104),0)</f>
        <v>0</v>
      </c>
      <c r="X105" s="32">
        <f t="shared" ca="1" si="153"/>
        <v>0</v>
      </c>
      <c r="Y105" s="32">
        <f t="shared" ca="1" si="153"/>
        <v>0</v>
      </c>
      <c r="Z105" s="32">
        <f t="shared" ca="1" si="153"/>
        <v>0</v>
      </c>
      <c r="AA105" s="32">
        <f ca="1">ROUND(SUM(AA101:AA104),0)</f>
        <v>0</v>
      </c>
      <c r="AB105" s="32">
        <f ca="1">ROUND(SUM(H105:AA105),0)</f>
        <v>0</v>
      </c>
    </row>
    <row r="106" spans="1:28" ht="12.75" customHeight="1">
      <c r="A106" s="35"/>
      <c r="B106" s="120" t="s">
        <v>292</v>
      </c>
      <c r="C106" s="30"/>
      <c r="D106" s="30"/>
      <c r="E106" s="30"/>
      <c r="F106" s="30"/>
      <c r="G106" s="1"/>
      <c r="H106" s="137"/>
      <c r="I106" s="1"/>
      <c r="J106" s="30"/>
      <c r="K106" s="30"/>
      <c r="L106" s="30"/>
      <c r="M106" s="30"/>
      <c r="N106" s="30"/>
      <c r="O106" s="30"/>
      <c r="P106" s="30"/>
      <c r="Q106" s="30"/>
      <c r="R106" s="30"/>
      <c r="S106" s="30"/>
      <c r="T106" s="1"/>
      <c r="U106" s="30"/>
      <c r="V106" s="30"/>
      <c r="W106" s="30"/>
      <c r="X106" s="30"/>
      <c r="Y106" s="30"/>
      <c r="Z106" s="30"/>
      <c r="AA106" s="30"/>
      <c r="AB106" s="30"/>
    </row>
    <row r="107" spans="1:28" ht="12.75" customHeight="1">
      <c r="A107" s="31">
        <v>3506</v>
      </c>
      <c r="B107" s="32" t="s">
        <v>86</v>
      </c>
      <c r="C107" s="32">
        <f ca="1">SUMIF(lines,$A107,day)</f>
        <v>21495</v>
      </c>
      <c r="D107" s="32">
        <f ca="1">SUMIF(lines,$A107,special)</f>
        <v>5000</v>
      </c>
      <c r="E107" s="32">
        <f ca="1">SUMIF(lines,$A107,occday)</f>
        <v>0</v>
      </c>
      <c r="F107" s="32">
        <f ca="1">SUMIF(lines,$A107,other)</f>
        <v>0</v>
      </c>
      <c r="G107" s="33"/>
      <c r="H107" s="32">
        <f ca="1">ROUND(SUM(C107:F107),0)</f>
        <v>26495</v>
      </c>
      <c r="I107" s="33"/>
      <c r="J107" s="32">
        <f ca="1">SUMIF(lines,$A107,TitleI)</f>
        <v>0</v>
      </c>
      <c r="K107" s="32">
        <f ca="1">SUMIF(lines,$A107,IDEA)</f>
        <v>0</v>
      </c>
      <c r="L107" s="32">
        <f ca="1">SUMIF(lines,$A107,ESSERI)</f>
        <v>0</v>
      </c>
      <c r="M107" s="32">
        <f ca="1">SUMIF(lines,$A107,ESSERII)</f>
        <v>0</v>
      </c>
      <c r="N107" s="32">
        <f ca="1">SUMIF(lines,$A107,ESSERIII)</f>
        <v>0</v>
      </c>
      <c r="O107" s="32">
        <f ca="1">SUMIF(lines,$A107,ESSERG)</f>
        <v>0</v>
      </c>
      <c r="P107" s="32">
        <f ca="1">SUMIF(lines,$A107,GEER)</f>
        <v>0</v>
      </c>
      <c r="Q107" s="32">
        <f ca="1">SUMIF(lines,$A107,doefed)</f>
        <v>0</v>
      </c>
      <c r="R107" s="32">
        <f ca="1">SUMIF(lines,$A107,adultfed)</f>
        <v>0</v>
      </c>
      <c r="S107" s="32">
        <f ca="1">SUMIF(lines,$A107,otherfed)</f>
        <v>0</v>
      </c>
      <c r="T107" s="33"/>
      <c r="U107" s="32">
        <f ca="1">SUMIF(lines,$A107,doestate)</f>
        <v>0</v>
      </c>
      <c r="V107" s="32">
        <f ca="1">SUMIF(lines,$A107,adultstate)</f>
        <v>0</v>
      </c>
      <c r="W107" s="32">
        <f ca="1">SUMIF(lines,$A107,otherstate)</f>
        <v>0</v>
      </c>
      <c r="X107" s="32">
        <f ca="1">SUMIF(lines,$A107,circuitbreaker)</f>
        <v>0</v>
      </c>
      <c r="Y107" s="32">
        <f ca="1">SUMIF(lines,$A107,private)</f>
        <v>0</v>
      </c>
      <c r="Z107" s="32">
        <f ca="1">SUMIF(lines,$A107,schchoice)</f>
        <v>0</v>
      </c>
      <c r="AA107" s="32">
        <f ca="1">SUMIF(lines,$A107,otherreceipts)</f>
        <v>0</v>
      </c>
      <c r="AB107" s="32">
        <f ca="1">ROUND(SUM(H107:AA107),0)</f>
        <v>26495</v>
      </c>
    </row>
    <row r="108" spans="1:28" ht="12.75" customHeight="1">
      <c r="A108" s="31">
        <v>3507</v>
      </c>
      <c r="B108" s="32" t="s">
        <v>87</v>
      </c>
      <c r="C108" s="32">
        <f ca="1">SUMIF(lines,$A108,day)</f>
        <v>0</v>
      </c>
      <c r="D108" s="32">
        <f ca="1">SUMIF(lines,$A108,special)</f>
        <v>0</v>
      </c>
      <c r="E108" s="32">
        <f ca="1">SUMIF(lines,$A108,occday)</f>
        <v>0</v>
      </c>
      <c r="F108" s="32">
        <f ca="1">SUMIF(lines,$A108,other)</f>
        <v>0</v>
      </c>
      <c r="G108" s="33"/>
      <c r="H108" s="32">
        <f ca="1">ROUND(SUM(C108:F108),0)</f>
        <v>0</v>
      </c>
      <c r="I108" s="33"/>
      <c r="J108" s="32">
        <f ca="1">SUMIF(lines,$A108,TitleI)</f>
        <v>0</v>
      </c>
      <c r="K108" s="32">
        <f ca="1">SUMIF(lines,$A108,IDEA)</f>
        <v>0</v>
      </c>
      <c r="L108" s="32">
        <f ca="1">SUMIF(lines,$A108,ESSERI)</f>
        <v>0</v>
      </c>
      <c r="M108" s="32">
        <f ca="1">SUMIF(lines,$A108,ESSERII)</f>
        <v>0</v>
      </c>
      <c r="N108" s="32">
        <f ca="1">SUMIF(lines,$A108,ESSERIII)</f>
        <v>0</v>
      </c>
      <c r="O108" s="32">
        <f ca="1">SUMIF(lines,$A108,ESSERG)</f>
        <v>0</v>
      </c>
      <c r="P108" s="32">
        <f ca="1">SUMIF(lines,$A108,GEER)</f>
        <v>0</v>
      </c>
      <c r="Q108" s="32">
        <f ca="1">SUMIF(lines,$A108,doefed)</f>
        <v>0</v>
      </c>
      <c r="R108" s="32">
        <f ca="1">SUMIF(lines,$A108,adultfed)</f>
        <v>0</v>
      </c>
      <c r="S108" s="32">
        <f ca="1">SUMIF(lines,$A108,otherfed)</f>
        <v>0</v>
      </c>
      <c r="T108" s="33"/>
      <c r="U108" s="32">
        <f ca="1">SUMIF(lines,$A108,doestate)</f>
        <v>0</v>
      </c>
      <c r="V108" s="32">
        <f ca="1">SUMIF(lines,$A108,adultstate)</f>
        <v>0</v>
      </c>
      <c r="W108" s="32">
        <f ca="1">SUMIF(lines,$A108,otherstate)</f>
        <v>0</v>
      </c>
      <c r="X108" s="32">
        <f ca="1">SUMIF(lines,$A108,circuitbreaker)</f>
        <v>0</v>
      </c>
      <c r="Y108" s="32">
        <f ca="1">SUMIF(lines,$A108,private)</f>
        <v>0</v>
      </c>
      <c r="Z108" s="32">
        <f ca="1">SUMIF(lines,$A108,schchoice)</f>
        <v>0</v>
      </c>
      <c r="AA108" s="32">
        <f ca="1">SUMIF(lines,$A108,otherreceipts)</f>
        <v>0</v>
      </c>
      <c r="AB108" s="32">
        <f ca="1">ROUND(SUM(H108:AA108),0)</f>
        <v>0</v>
      </c>
    </row>
    <row r="109" spans="1:28" ht="12.75" customHeight="1">
      <c r="A109" s="31">
        <v>3508</v>
      </c>
      <c r="B109" s="32" t="s">
        <v>88</v>
      </c>
      <c r="C109" s="32">
        <f ca="1">SUMIF(lines,$A109,day)</f>
        <v>0</v>
      </c>
      <c r="D109" s="32">
        <f ca="1">SUMIF(lines,$A109,special)</f>
        <v>0</v>
      </c>
      <c r="E109" s="32">
        <f ca="1">SUMIF(lines,$A109,occday)</f>
        <v>0</v>
      </c>
      <c r="F109" s="32">
        <f ca="1">SUMIF(lines,$A109,other)</f>
        <v>0</v>
      </c>
      <c r="G109" s="33"/>
      <c r="H109" s="32">
        <f ca="1">ROUND(SUM(C109:F109),0)</f>
        <v>0</v>
      </c>
      <c r="I109" s="33"/>
      <c r="J109" s="32">
        <f ca="1">SUMIF(lines,$A109,TitleI)</f>
        <v>0</v>
      </c>
      <c r="K109" s="32">
        <f ca="1">SUMIF(lines,$A109,IDEA)</f>
        <v>0</v>
      </c>
      <c r="L109" s="32">
        <f ca="1">SUMIF(lines,$A109,ESSERI)</f>
        <v>0</v>
      </c>
      <c r="M109" s="32">
        <f ca="1">SUMIF(lines,$A109,ESSERII)</f>
        <v>0</v>
      </c>
      <c r="N109" s="32">
        <f ca="1">SUMIF(lines,$A109,ESSERIII)</f>
        <v>0</v>
      </c>
      <c r="O109" s="32">
        <f ca="1">SUMIF(lines,$A109,ESSERG)</f>
        <v>0</v>
      </c>
      <c r="P109" s="32">
        <f ca="1">SUMIF(lines,$A109,GEER)</f>
        <v>0</v>
      </c>
      <c r="Q109" s="32">
        <f ca="1">SUMIF(lines,$A109,doefed)</f>
        <v>0</v>
      </c>
      <c r="R109" s="32">
        <f ca="1">SUMIF(lines,$A109,adultfed)</f>
        <v>0</v>
      </c>
      <c r="S109" s="32">
        <f ca="1">SUMIF(lines,$A109,otherfed)</f>
        <v>0</v>
      </c>
      <c r="T109" s="33"/>
      <c r="U109" s="32">
        <f ca="1">SUMIF(lines,$A109,doestate)</f>
        <v>0</v>
      </c>
      <c r="V109" s="32">
        <f ca="1">SUMIF(lines,$A109,adultstate)</f>
        <v>0</v>
      </c>
      <c r="W109" s="32">
        <f ca="1">SUMIF(lines,$A109,otherstate)</f>
        <v>0</v>
      </c>
      <c r="X109" s="32">
        <f ca="1">SUMIF(lines,$A109,circuitbreaker)</f>
        <v>0</v>
      </c>
      <c r="Y109" s="32">
        <f ca="1">SUMIF(lines,$A109,private)</f>
        <v>0</v>
      </c>
      <c r="Z109" s="32">
        <f ca="1">SUMIF(lines,$A109,schchoice)</f>
        <v>0</v>
      </c>
      <c r="AA109" s="32">
        <f ca="1">SUMIF(lines,$A109,otherreceipts)</f>
        <v>0</v>
      </c>
      <c r="AB109" s="32">
        <f ca="1">ROUND(SUM(H109:AA109),0)</f>
        <v>0</v>
      </c>
    </row>
    <row r="110" spans="1:28" ht="12.75" customHeight="1">
      <c r="A110" s="31">
        <v>3509</v>
      </c>
      <c r="B110" s="34" t="s">
        <v>89</v>
      </c>
      <c r="C110" s="32">
        <f ca="1">ROUND(SUM(C107:C109),0)</f>
        <v>21495</v>
      </c>
      <c r="D110" s="32">
        <f ca="1">ROUND(SUM(D107:D109),0)</f>
        <v>5000</v>
      </c>
      <c r="E110" s="32">
        <f ca="1">ROUND(SUM(E107:E109),0)</f>
        <v>0</v>
      </c>
      <c r="F110" s="32">
        <f ca="1">ROUND(SUM(F107:F109),0)</f>
        <v>0</v>
      </c>
      <c r="G110" s="33"/>
      <c r="H110" s="32">
        <f ca="1">ROUND(SUM(C110:F110),0)</f>
        <v>26495</v>
      </c>
      <c r="I110" s="33"/>
      <c r="J110" s="32">
        <f t="shared" ref="J110:AA110" ca="1" si="154">ROUND(SUM(J107:J109),0)</f>
        <v>0</v>
      </c>
      <c r="K110" s="32">
        <f t="shared" ca="1" si="154"/>
        <v>0</v>
      </c>
      <c r="L110" s="32">
        <f t="shared" ca="1" si="154"/>
        <v>0</v>
      </c>
      <c r="M110" s="32">
        <f t="shared" ca="1" si="154"/>
        <v>0</v>
      </c>
      <c r="N110" s="32">
        <f t="shared" ca="1" si="154"/>
        <v>0</v>
      </c>
      <c r="O110" s="32">
        <f t="shared" ca="1" si="154"/>
        <v>0</v>
      </c>
      <c r="P110" s="32">
        <f ca="1">ROUND(SUM(P107:P109),0)</f>
        <v>0</v>
      </c>
      <c r="Q110" s="32">
        <f t="shared" ca="1" si="154"/>
        <v>0</v>
      </c>
      <c r="R110" s="32">
        <f t="shared" ca="1" si="154"/>
        <v>0</v>
      </c>
      <c r="S110" s="32">
        <f ca="1">ROUND(SUM(S107:S109),0)</f>
        <v>0</v>
      </c>
      <c r="T110" s="33"/>
      <c r="U110" s="32">
        <f t="shared" ca="1" si="154"/>
        <v>0</v>
      </c>
      <c r="V110" s="32">
        <f t="shared" ca="1" si="154"/>
        <v>0</v>
      </c>
      <c r="W110" s="32">
        <f ca="1">ROUND(SUM(W107:W109),0)</f>
        <v>0</v>
      </c>
      <c r="X110" s="32">
        <f t="shared" ca="1" si="154"/>
        <v>0</v>
      </c>
      <c r="Y110" s="32">
        <f t="shared" ca="1" si="154"/>
        <v>0</v>
      </c>
      <c r="Z110" s="32">
        <f t="shared" ca="1" si="154"/>
        <v>0</v>
      </c>
      <c r="AA110" s="32">
        <f t="shared" ca="1" si="154"/>
        <v>0</v>
      </c>
      <c r="AB110" s="32">
        <f ca="1">ROUND(SUM(H110:AA110),0)</f>
        <v>26495</v>
      </c>
    </row>
    <row r="111" spans="1:28" ht="12.75" customHeight="1">
      <c r="A111" s="35"/>
      <c r="B111" s="120" t="s">
        <v>118</v>
      </c>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row>
    <row r="112" spans="1:28" ht="12.75" customHeight="1">
      <c r="A112" s="31">
        <v>3511</v>
      </c>
      <c r="B112" s="32" t="s">
        <v>87</v>
      </c>
      <c r="C112" s="32">
        <f ca="1">SUMIF(lines,$A112,day)</f>
        <v>4281</v>
      </c>
      <c r="D112" s="32">
        <f ca="1">SUMIF(lines,$A112,special)</f>
        <v>0</v>
      </c>
      <c r="E112" s="32">
        <f ca="1">SUMIF(lines,$A112,occday)</f>
        <v>0</v>
      </c>
      <c r="F112" s="32">
        <f ca="1">SUMIF(lines,$A112,other)</f>
        <v>0</v>
      </c>
      <c r="G112" s="33"/>
      <c r="H112" s="32">
        <f ca="1">ROUND(SUM(C112:F112),0)</f>
        <v>4281</v>
      </c>
      <c r="I112" s="33"/>
      <c r="J112" s="32">
        <f ca="1">SUMIF(lines,$A112,TitleI)</f>
        <v>0</v>
      </c>
      <c r="K112" s="32">
        <f ca="1">SUMIF(lines,$A112,IDEA)</f>
        <v>0</v>
      </c>
      <c r="L112" s="32">
        <f ca="1">SUMIF(lines,$A112,ESSERI)</f>
        <v>0</v>
      </c>
      <c r="M112" s="32">
        <f ca="1">SUMIF(lines,$A112,ESSERII)</f>
        <v>0</v>
      </c>
      <c r="N112" s="32">
        <f ca="1">SUMIF(lines,$A112,ESSERIII)</f>
        <v>0</v>
      </c>
      <c r="O112" s="32">
        <f ca="1">SUMIF(lines,$A112,ESSERG)</f>
        <v>0</v>
      </c>
      <c r="P112" s="32">
        <f ca="1">SUMIF(lines,$A112,GEER)</f>
        <v>0</v>
      </c>
      <c r="Q112" s="32">
        <f ca="1">SUMIF(lines,$A112,doefed)</f>
        <v>0</v>
      </c>
      <c r="R112" s="32">
        <f ca="1">SUMIF(lines,$A112,adultfed)</f>
        <v>0</v>
      </c>
      <c r="S112" s="32">
        <f ca="1">SUMIF(lines,$A112,otherfed)</f>
        <v>0</v>
      </c>
      <c r="T112" s="33"/>
      <c r="U112" s="32">
        <f ca="1">SUMIF(lines,$A112,doestate)</f>
        <v>0</v>
      </c>
      <c r="V112" s="32">
        <f ca="1">SUMIF(lines,$A112,adultstate)</f>
        <v>0</v>
      </c>
      <c r="W112" s="32">
        <f ca="1">SUMIF(lines,$A112,otherstate)</f>
        <v>0</v>
      </c>
      <c r="X112" s="32">
        <f ca="1">SUMIF(lines,$A112,circuitbreaker)</f>
        <v>0</v>
      </c>
      <c r="Y112" s="32">
        <f ca="1">SUMIF(lines,$A112,private)</f>
        <v>0</v>
      </c>
      <c r="Z112" s="32">
        <f ca="1">SUMIF(lines,$A112,schchoice)</f>
        <v>0</v>
      </c>
      <c r="AA112" s="32">
        <f ca="1">SUMIF(lines,$A112,otherreceipts)</f>
        <v>0</v>
      </c>
      <c r="AB112" s="32">
        <f ca="1">ROUND(SUM(H112:AA112),0)</f>
        <v>4281</v>
      </c>
    </row>
    <row r="113" spans="1:28" ht="12.75" customHeight="1">
      <c r="A113" s="35"/>
      <c r="B113" s="120" t="s">
        <v>119</v>
      </c>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row>
    <row r="114" spans="1:28" ht="12.75" customHeight="1">
      <c r="A114" s="31">
        <v>3514</v>
      </c>
      <c r="B114" s="32" t="s">
        <v>86</v>
      </c>
      <c r="C114" s="32">
        <f ca="1">SUMIF(lines,$A114,day)</f>
        <v>0</v>
      </c>
      <c r="D114" s="32">
        <f ca="1">SUMIF(lines,$A114,special)</f>
        <v>0</v>
      </c>
      <c r="E114" s="32">
        <f ca="1">SUMIF(lines,$A114,occday)</f>
        <v>0</v>
      </c>
      <c r="F114" s="32">
        <f ca="1">SUMIF(lines,$A114,other)</f>
        <v>0</v>
      </c>
      <c r="G114" s="33"/>
      <c r="H114" s="32">
        <f ca="1">ROUND(SUM(C114:F114),0)</f>
        <v>0</v>
      </c>
      <c r="I114" s="32">
        <f ca="1">SUMIF(lines,$A114,citytwn)</f>
        <v>0</v>
      </c>
      <c r="J114" s="32">
        <f ca="1">SUMIF(lines,$A114,TitleI)</f>
        <v>0</v>
      </c>
      <c r="K114" s="32">
        <f ca="1">SUMIF(lines,$A114,IDEA)</f>
        <v>0</v>
      </c>
      <c r="L114" s="32">
        <f ca="1">SUMIF(lines,$A114,ESSERI)</f>
        <v>0</v>
      </c>
      <c r="M114" s="32">
        <f ca="1">SUMIF(lines,$A114,ESSERII)</f>
        <v>0</v>
      </c>
      <c r="N114" s="32">
        <f ca="1">SUMIF(lines,$A114,ESSERIII)</f>
        <v>0</v>
      </c>
      <c r="O114" s="32">
        <f ca="1">SUMIF(lines,$A114,ESSERG)</f>
        <v>0</v>
      </c>
      <c r="P114" s="32">
        <f ca="1">SUMIF(lines,$A114,GEER)</f>
        <v>0</v>
      </c>
      <c r="Q114" s="32">
        <f ca="1">SUMIF(lines,$A114,doefed)</f>
        <v>0</v>
      </c>
      <c r="R114" s="32">
        <f ca="1">SUMIF(lines,$A114,adultfed)</f>
        <v>0</v>
      </c>
      <c r="S114" s="32">
        <f ca="1">SUMIF(lines,$A114,otherfed)</f>
        <v>0</v>
      </c>
      <c r="T114" s="33"/>
      <c r="U114" s="32">
        <f ca="1">SUMIF(lines,$A114,doestate)</f>
        <v>0</v>
      </c>
      <c r="V114" s="32">
        <f ca="1">SUMIF(lines,$A114,adultstate)</f>
        <v>0</v>
      </c>
      <c r="W114" s="32">
        <f ca="1">SUMIF(lines,$A114,otherstate)</f>
        <v>0</v>
      </c>
      <c r="X114" s="32">
        <f ca="1">SUMIF(lines,$A114,circuitbreaker)</f>
        <v>0</v>
      </c>
      <c r="Y114" s="32">
        <f ca="1">SUMIF(lines,$A114,private)</f>
        <v>0</v>
      </c>
      <c r="Z114" s="32">
        <f ca="1">SUMIF(lines,$A114,schchoice)</f>
        <v>0</v>
      </c>
      <c r="AA114" s="32">
        <f ca="1">SUMIF(lines,$A114,otherreceipts)</f>
        <v>0</v>
      </c>
      <c r="AB114" s="32">
        <f ca="1">ROUND(SUM(H114:AA114),0)</f>
        <v>0</v>
      </c>
    </row>
    <row r="115" spans="1:28" ht="12.75" customHeight="1">
      <c r="A115" s="31">
        <v>3515</v>
      </c>
      <c r="B115" s="32" t="s">
        <v>87</v>
      </c>
      <c r="C115" s="32">
        <f ca="1">SUMIF(lines,$A115,day)</f>
        <v>68931.12</v>
      </c>
      <c r="D115" s="32">
        <f ca="1">SUMIF(lines,$A115,special)</f>
        <v>12346</v>
      </c>
      <c r="E115" s="32">
        <f ca="1">SUMIF(lines,$A115,occday)</f>
        <v>0</v>
      </c>
      <c r="F115" s="32">
        <f ca="1">SUMIF(lines,$A115,other)</f>
        <v>0</v>
      </c>
      <c r="G115" s="33"/>
      <c r="H115" s="32">
        <f ca="1">ROUND(SUM(C115:F115),0)</f>
        <v>81277</v>
      </c>
      <c r="I115" s="32">
        <f ca="1">SUMIF(lines,$A115,citytwn)</f>
        <v>0</v>
      </c>
      <c r="J115" s="32">
        <f ca="1">SUMIF(lines,$A115,TitleI)</f>
        <v>0</v>
      </c>
      <c r="K115" s="32">
        <f ca="1">SUMIF(lines,$A115,IDEA)</f>
        <v>0</v>
      </c>
      <c r="L115" s="32">
        <f ca="1">SUMIF(lines,$A115,ESSERI)</f>
        <v>0</v>
      </c>
      <c r="M115" s="32">
        <f ca="1">SUMIF(lines,$A115,ESSERII)</f>
        <v>0</v>
      </c>
      <c r="N115" s="32">
        <f ca="1">SUMIF(lines,$A115,ESSERIII)</f>
        <v>0</v>
      </c>
      <c r="O115" s="32">
        <f ca="1">SUMIF(lines,$A115,ESSERG)</f>
        <v>0</v>
      </c>
      <c r="P115" s="32">
        <f ca="1">SUMIF(lines,$A115,GEER)</f>
        <v>0</v>
      </c>
      <c r="Q115" s="32">
        <f ca="1">SUMIF(lines,$A115,doefed)</f>
        <v>0</v>
      </c>
      <c r="R115" s="32">
        <f ca="1">SUMIF(lines,$A115,adultfed)</f>
        <v>0</v>
      </c>
      <c r="S115" s="32">
        <f ca="1">SUMIF(lines,$A115,otherfed)</f>
        <v>0</v>
      </c>
      <c r="T115" s="33"/>
      <c r="U115" s="32">
        <f ca="1">SUMIF(lines,$A115,doestate)</f>
        <v>0</v>
      </c>
      <c r="V115" s="32">
        <f ca="1">SUMIF(lines,$A115,adultstate)</f>
        <v>0</v>
      </c>
      <c r="W115" s="32">
        <f ca="1">SUMIF(lines,$A115,otherstate)</f>
        <v>0</v>
      </c>
      <c r="X115" s="32">
        <f ca="1">SUMIF(lines,$A115,circuitbreaker)</f>
        <v>0</v>
      </c>
      <c r="Y115" s="32">
        <f ca="1">SUMIF(lines,$A115,private)</f>
        <v>0</v>
      </c>
      <c r="Z115" s="32">
        <f ca="1">SUMIF(lines,$A115,schchoice)</f>
        <v>0</v>
      </c>
      <c r="AA115" s="32">
        <f ca="1">SUMIF(lines,$A115,otherreceipts)</f>
        <v>0</v>
      </c>
      <c r="AB115" s="32">
        <f ca="1">ROUND(SUM(H115:AA115),0)</f>
        <v>81277</v>
      </c>
    </row>
    <row r="116" spans="1:28" ht="12.75" customHeight="1">
      <c r="A116" s="31">
        <v>3516</v>
      </c>
      <c r="B116" s="32" t="s">
        <v>88</v>
      </c>
      <c r="C116" s="32">
        <f ca="1">SUMIF(lines,$A116,day)</f>
        <v>0</v>
      </c>
      <c r="D116" s="32">
        <f ca="1">SUMIF(lines,$A116,special)</f>
        <v>0</v>
      </c>
      <c r="E116" s="32">
        <f ca="1">SUMIF(lines,$A116,occday)</f>
        <v>0</v>
      </c>
      <c r="F116" s="32">
        <f ca="1">SUMIF(lines,$A116,other)</f>
        <v>0</v>
      </c>
      <c r="G116" s="33"/>
      <c r="H116" s="32">
        <f ca="1">ROUND(SUM(C116:F116),0)</f>
        <v>0</v>
      </c>
      <c r="I116" s="32">
        <f ca="1">SUMIF(lines,$A116,citytwn)</f>
        <v>0</v>
      </c>
      <c r="J116" s="32">
        <f ca="1">SUMIF(lines,$A116,TitleI)</f>
        <v>0</v>
      </c>
      <c r="K116" s="32">
        <f ca="1">SUMIF(lines,$A116,IDEA)</f>
        <v>0</v>
      </c>
      <c r="L116" s="32">
        <f ca="1">SUMIF(lines,$A116,ESSERI)</f>
        <v>0</v>
      </c>
      <c r="M116" s="32">
        <f ca="1">SUMIF(lines,$A116,ESSERII)</f>
        <v>0</v>
      </c>
      <c r="N116" s="32">
        <f ca="1">SUMIF(lines,$A116,ESSERIII)</f>
        <v>0</v>
      </c>
      <c r="O116" s="32">
        <f ca="1">SUMIF(lines,$A116,ESSERG)</f>
        <v>0</v>
      </c>
      <c r="P116" s="32">
        <f ca="1">SUMIF(lines,$A116,GEER)</f>
        <v>0</v>
      </c>
      <c r="Q116" s="32">
        <f ca="1">SUMIF(lines,$A116,doefed)</f>
        <v>0</v>
      </c>
      <c r="R116" s="32">
        <f ca="1">SUMIF(lines,$A116,adultfed)</f>
        <v>0</v>
      </c>
      <c r="S116" s="32">
        <f ca="1">SUMIF(lines,$A116,otherfed)</f>
        <v>0</v>
      </c>
      <c r="T116" s="33"/>
      <c r="U116" s="32">
        <f ca="1">SUMIF(lines,$A116,doestate)</f>
        <v>0</v>
      </c>
      <c r="V116" s="32">
        <f ca="1">SUMIF(lines,$A116,adultstate)</f>
        <v>0</v>
      </c>
      <c r="W116" s="32">
        <f ca="1">SUMIF(lines,$A116,otherstate)</f>
        <v>0</v>
      </c>
      <c r="X116" s="32">
        <f ca="1">SUMIF(lines,$A116,circuitbreaker)</f>
        <v>0</v>
      </c>
      <c r="Y116" s="32">
        <f ca="1">SUMIF(lines,$A116,private)</f>
        <v>0</v>
      </c>
      <c r="Z116" s="32">
        <f ca="1">SUMIF(lines,$A116,schchoice)</f>
        <v>0</v>
      </c>
      <c r="AA116" s="32">
        <f ca="1">SUMIF(lines,$A116,otherreceipts)</f>
        <v>0</v>
      </c>
      <c r="AB116" s="32">
        <f ca="1">ROUND(SUM(H116:AA116),0)</f>
        <v>0</v>
      </c>
    </row>
    <row r="117" spans="1:28" ht="12.75" customHeight="1">
      <c r="A117" s="31">
        <v>3519</v>
      </c>
      <c r="B117" s="34" t="s">
        <v>89</v>
      </c>
      <c r="C117" s="32">
        <f ca="1">ROUND(SUM(C114:C116),0)</f>
        <v>68931</v>
      </c>
      <c r="D117" s="32">
        <f ca="1">ROUND(SUM(D114:D116),0)</f>
        <v>12346</v>
      </c>
      <c r="E117" s="32">
        <f ca="1">ROUND(SUM(E114:E116),0)</f>
        <v>0</v>
      </c>
      <c r="F117" s="32">
        <f ca="1">ROUND(SUM(F114:F116),0)</f>
        <v>0</v>
      </c>
      <c r="G117" s="33"/>
      <c r="H117" s="32">
        <f ca="1">ROUND(SUM(C117:F117),0)</f>
        <v>81277</v>
      </c>
      <c r="I117" s="32">
        <f t="shared" ref="I117:P117" ca="1" si="155">ROUND(SUM(I114:I116),0)</f>
        <v>0</v>
      </c>
      <c r="J117" s="32">
        <f t="shared" ca="1" si="155"/>
        <v>0</v>
      </c>
      <c r="K117" s="32">
        <f t="shared" ca="1" si="155"/>
        <v>0</v>
      </c>
      <c r="L117" s="32">
        <f t="shared" ca="1" si="155"/>
        <v>0</v>
      </c>
      <c r="M117" s="32">
        <f t="shared" ca="1" si="155"/>
        <v>0</v>
      </c>
      <c r="N117" s="32">
        <f t="shared" ca="1" si="155"/>
        <v>0</v>
      </c>
      <c r="O117" s="32">
        <f t="shared" ca="1" si="155"/>
        <v>0</v>
      </c>
      <c r="P117" s="32">
        <f t="shared" ca="1" si="155"/>
        <v>0</v>
      </c>
      <c r="Q117" s="32">
        <f t="shared" ref="Q117:AA117" ca="1" si="156">ROUND(SUM(Q114:Q116),0)</f>
        <v>0</v>
      </c>
      <c r="R117" s="32">
        <f t="shared" ca="1" si="156"/>
        <v>0</v>
      </c>
      <c r="S117" s="32">
        <f ca="1">ROUND(SUM(S114:S116),0)</f>
        <v>0</v>
      </c>
      <c r="T117" s="33"/>
      <c r="U117" s="32">
        <f t="shared" ca="1" si="156"/>
        <v>0</v>
      </c>
      <c r="V117" s="32">
        <f t="shared" ca="1" si="156"/>
        <v>0</v>
      </c>
      <c r="W117" s="32">
        <f ca="1">ROUND(SUM(W114:W116),0)</f>
        <v>0</v>
      </c>
      <c r="X117" s="32">
        <f t="shared" ca="1" si="156"/>
        <v>0</v>
      </c>
      <c r="Y117" s="32">
        <f t="shared" ca="1" si="156"/>
        <v>0</v>
      </c>
      <c r="Z117" s="32">
        <f t="shared" ca="1" si="156"/>
        <v>0</v>
      </c>
      <c r="AA117" s="32">
        <f t="shared" ca="1" si="156"/>
        <v>0</v>
      </c>
      <c r="AB117" s="32">
        <f ca="1">ROUND(SUM(H117:AA117),0)</f>
        <v>81277</v>
      </c>
    </row>
    <row r="118" spans="1:28" ht="12.75" customHeight="1">
      <c r="A118" s="35"/>
      <c r="B118" s="120" t="s">
        <v>120</v>
      </c>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row>
    <row r="119" spans="1:28" ht="12.75" customHeight="1">
      <c r="A119" s="31">
        <v>3524</v>
      </c>
      <c r="B119" s="32" t="s">
        <v>86</v>
      </c>
      <c r="C119" s="32">
        <f ca="1">SUMIF(lines,$A119,day)</f>
        <v>0</v>
      </c>
      <c r="D119" s="32">
        <f ca="1">SUMIF(lines,$A119,special)</f>
        <v>0</v>
      </c>
      <c r="E119" s="32">
        <f ca="1">SUMIF(lines,$A119,occday)</f>
        <v>0</v>
      </c>
      <c r="F119" s="32">
        <f ca="1">SUMIF(lines,$A119,other)</f>
        <v>0</v>
      </c>
      <c r="G119" s="33"/>
      <c r="H119" s="32">
        <f ca="1">ROUND(SUM(C119:F119),0)</f>
        <v>0</v>
      </c>
      <c r="I119" s="33"/>
      <c r="J119" s="32">
        <f ca="1">SUMIF(lines,$A119,TitleI)</f>
        <v>0</v>
      </c>
      <c r="K119" s="32">
        <f ca="1">SUMIF(lines,$A119,IDEA)</f>
        <v>0</v>
      </c>
      <c r="L119" s="32">
        <f ca="1">SUMIF(lines,$A119,ESSERI)</f>
        <v>0</v>
      </c>
      <c r="M119" s="32">
        <f ca="1">SUMIF(lines,$A119,ESSERII)</f>
        <v>0</v>
      </c>
      <c r="N119" s="32">
        <f ca="1">SUMIF(lines,$A119,ESSERIII)</f>
        <v>0</v>
      </c>
      <c r="O119" s="32">
        <f ca="1">SUMIF(lines,$A119,ESSERG)</f>
        <v>0</v>
      </c>
      <c r="P119" s="32">
        <f ca="1">SUMIF(lines,$A119,GEER)</f>
        <v>0</v>
      </c>
      <c r="Q119" s="32">
        <f ca="1">SUMIF(lines,$A119,doefed)</f>
        <v>0</v>
      </c>
      <c r="R119" s="32">
        <f ca="1">SUMIF(lines,$A119,adultfed)</f>
        <v>0</v>
      </c>
      <c r="S119" s="32">
        <f ca="1">SUMIF(lines,$A119,otherfed)</f>
        <v>0</v>
      </c>
      <c r="T119" s="33"/>
      <c r="U119" s="32">
        <f ca="1">SUMIF(lines,$A119,doestate)</f>
        <v>0</v>
      </c>
      <c r="V119" s="32">
        <f ca="1">SUMIF(lines,$A119,adultstate)</f>
        <v>0</v>
      </c>
      <c r="W119" s="32">
        <f ca="1">SUMIF(lines,$A119,otherstate)</f>
        <v>0</v>
      </c>
      <c r="X119" s="32">
        <f ca="1">SUMIF(lines,$A119,circuitbreaker)</f>
        <v>0</v>
      </c>
      <c r="Y119" s="32">
        <f ca="1">SUMIF(lines,$A119,private)</f>
        <v>0</v>
      </c>
      <c r="Z119" s="32">
        <f ca="1">SUMIF(lines,$A119,schchoice)</f>
        <v>0</v>
      </c>
      <c r="AA119" s="32">
        <f ca="1">SUMIF(lines,$A119,otherreceipts)</f>
        <v>0</v>
      </c>
      <c r="AB119" s="32">
        <f ca="1">ROUND(SUM(H119:AA119),0)</f>
        <v>0</v>
      </c>
    </row>
    <row r="120" spans="1:28" ht="12.75" customHeight="1">
      <c r="A120" s="31">
        <v>3525</v>
      </c>
      <c r="B120" s="32" t="s">
        <v>87</v>
      </c>
      <c r="C120" s="32">
        <f ca="1">SUMIF(lines,$A120,day)</f>
        <v>54469.61</v>
      </c>
      <c r="D120" s="32">
        <f ca="1">SUMIF(lines,$A120,special)</f>
        <v>0</v>
      </c>
      <c r="E120" s="32">
        <f ca="1">SUMIF(lines,$A120,occday)</f>
        <v>0</v>
      </c>
      <c r="F120" s="32">
        <f ca="1">SUMIF(lines,$A120,other)</f>
        <v>0</v>
      </c>
      <c r="G120" s="33"/>
      <c r="H120" s="32">
        <f ca="1">ROUND(SUM(C120:F120),0)</f>
        <v>54470</v>
      </c>
      <c r="I120" s="33"/>
      <c r="J120" s="32">
        <f ca="1">SUMIF(lines,$A120,TitleI)</f>
        <v>0</v>
      </c>
      <c r="K120" s="32">
        <f ca="1">SUMIF(lines,$A120,IDEA)</f>
        <v>0</v>
      </c>
      <c r="L120" s="32">
        <f ca="1">SUMIF(lines,$A120,ESSERI)</f>
        <v>0</v>
      </c>
      <c r="M120" s="32">
        <f ca="1">SUMIF(lines,$A120,ESSERII)</f>
        <v>0</v>
      </c>
      <c r="N120" s="32">
        <f ca="1">SUMIF(lines,$A120,ESSERIII)</f>
        <v>0</v>
      </c>
      <c r="O120" s="32">
        <f ca="1">SUMIF(lines,$A120,ESSERG)</f>
        <v>0</v>
      </c>
      <c r="P120" s="32">
        <f ca="1">SUMIF(lines,$A120,GEER)</f>
        <v>0</v>
      </c>
      <c r="Q120" s="32">
        <f ca="1">SUMIF(lines,$A120,doefed)</f>
        <v>0</v>
      </c>
      <c r="R120" s="32">
        <f ca="1">SUMIF(lines,$A120,adultfed)</f>
        <v>0</v>
      </c>
      <c r="S120" s="32">
        <f ca="1">SUMIF(lines,$A120,otherfed)</f>
        <v>0</v>
      </c>
      <c r="T120" s="33"/>
      <c r="U120" s="32">
        <f ca="1">SUMIF(lines,$A120,doestate)</f>
        <v>0</v>
      </c>
      <c r="V120" s="32">
        <f ca="1">SUMIF(lines,$A120,adultstate)</f>
        <v>0</v>
      </c>
      <c r="W120" s="32">
        <f ca="1">SUMIF(lines,$A120,otherstate)</f>
        <v>0</v>
      </c>
      <c r="X120" s="32">
        <f ca="1">SUMIF(lines,$A120,circuitbreaker)</f>
        <v>0</v>
      </c>
      <c r="Y120" s="32">
        <f ca="1">SUMIF(lines,$A120,private)</f>
        <v>0</v>
      </c>
      <c r="Z120" s="32">
        <f ca="1">SUMIF(lines,$A120,schchoice)</f>
        <v>0</v>
      </c>
      <c r="AA120" s="32">
        <f ca="1">SUMIF(lines,$A120,otherreceipts)</f>
        <v>0</v>
      </c>
      <c r="AB120" s="32">
        <f ca="1">ROUND(SUM(H120:AA120),0)</f>
        <v>54470</v>
      </c>
    </row>
    <row r="121" spans="1:28" ht="12.75" customHeight="1">
      <c r="A121" s="31">
        <v>3526</v>
      </c>
      <c r="B121" s="32" t="s">
        <v>88</v>
      </c>
      <c r="C121" s="32">
        <f ca="1">SUMIF(lines,$A121,day)</f>
        <v>0</v>
      </c>
      <c r="D121" s="32">
        <f ca="1">SUMIF(lines,$A121,special)</f>
        <v>0</v>
      </c>
      <c r="E121" s="32">
        <f ca="1">SUMIF(lines,$A121,occday)</f>
        <v>0</v>
      </c>
      <c r="F121" s="32">
        <f ca="1">SUMIF(lines,$A121,other)</f>
        <v>0</v>
      </c>
      <c r="G121" s="33"/>
      <c r="H121" s="32">
        <f ca="1">ROUND(SUM(C121:F121),0)</f>
        <v>0</v>
      </c>
      <c r="I121" s="33"/>
      <c r="J121" s="32">
        <f ca="1">SUMIF(lines,$A121,TitleI)</f>
        <v>0</v>
      </c>
      <c r="K121" s="32">
        <f ca="1">SUMIF(lines,$A121,IDEA)</f>
        <v>0</v>
      </c>
      <c r="L121" s="32">
        <f ca="1">SUMIF(lines,$A121,ESSERI)</f>
        <v>0</v>
      </c>
      <c r="M121" s="32">
        <f ca="1">SUMIF(lines,$A121,ESSERII)</f>
        <v>0</v>
      </c>
      <c r="N121" s="32">
        <f ca="1">SUMIF(lines,$A121,ESSERIII)</f>
        <v>0</v>
      </c>
      <c r="O121" s="32">
        <f ca="1">SUMIF(lines,$A121,ESSERG)</f>
        <v>0</v>
      </c>
      <c r="P121" s="32">
        <f ca="1">SUMIF(lines,$A121,GEER)</f>
        <v>0</v>
      </c>
      <c r="Q121" s="32">
        <f ca="1">SUMIF(lines,$A121,doefed)</f>
        <v>0</v>
      </c>
      <c r="R121" s="32">
        <f ca="1">SUMIF(lines,$A121,adultfed)</f>
        <v>0</v>
      </c>
      <c r="S121" s="32">
        <f ca="1">SUMIF(lines,$A121,otherfed)</f>
        <v>0</v>
      </c>
      <c r="T121" s="33"/>
      <c r="U121" s="32">
        <f ca="1">SUMIF(lines,$A121,doestate)</f>
        <v>0</v>
      </c>
      <c r="V121" s="32">
        <f ca="1">SUMIF(lines,$A121,adultstate)</f>
        <v>0</v>
      </c>
      <c r="W121" s="32">
        <f ca="1">SUMIF(lines,$A121,otherstate)</f>
        <v>0</v>
      </c>
      <c r="X121" s="32">
        <f ca="1">SUMIF(lines,$A121,circuitbreaker)</f>
        <v>0</v>
      </c>
      <c r="Y121" s="32">
        <f ca="1">SUMIF(lines,$A121,private)</f>
        <v>0</v>
      </c>
      <c r="Z121" s="32">
        <f ca="1">SUMIF(lines,$A121,schchoice)</f>
        <v>0</v>
      </c>
      <c r="AA121" s="32">
        <f ca="1">SUMIF(lines,$A121,otherreceipts)</f>
        <v>0</v>
      </c>
      <c r="AB121" s="32">
        <f ca="1">ROUND(SUM(H121:AA121),0)</f>
        <v>0</v>
      </c>
    </row>
    <row r="122" spans="1:28" ht="12.75" customHeight="1">
      <c r="A122" s="31">
        <v>3529</v>
      </c>
      <c r="B122" s="34" t="s">
        <v>89</v>
      </c>
      <c r="C122" s="32">
        <f ca="1">ROUND(SUM(C119:C121),0)</f>
        <v>54470</v>
      </c>
      <c r="D122" s="32">
        <f ca="1">ROUND(SUM(D119:D121),0)</f>
        <v>0</v>
      </c>
      <c r="E122" s="32">
        <f ca="1">ROUND(SUM(E119:E121),0)</f>
        <v>0</v>
      </c>
      <c r="F122" s="32">
        <f ca="1">ROUND(SUM(F119:F121),0)</f>
        <v>0</v>
      </c>
      <c r="G122" s="33"/>
      <c r="H122" s="32">
        <f ca="1">ROUND(SUM(C122:F122),0)</f>
        <v>54470</v>
      </c>
      <c r="I122" s="33"/>
      <c r="J122" s="32">
        <f t="shared" ref="J122:P122" ca="1" si="157">ROUND(SUM(J119:J121),0)</f>
        <v>0</v>
      </c>
      <c r="K122" s="32">
        <f t="shared" ca="1" si="157"/>
        <v>0</v>
      </c>
      <c r="L122" s="32">
        <f t="shared" ca="1" si="157"/>
        <v>0</v>
      </c>
      <c r="M122" s="32">
        <f t="shared" ca="1" si="157"/>
        <v>0</v>
      </c>
      <c r="N122" s="32">
        <f t="shared" ca="1" si="157"/>
        <v>0</v>
      </c>
      <c r="O122" s="32">
        <f t="shared" ca="1" si="157"/>
        <v>0</v>
      </c>
      <c r="P122" s="32">
        <f t="shared" ca="1" si="157"/>
        <v>0</v>
      </c>
      <c r="Q122" s="32">
        <f t="shared" ref="Q122:AA122" ca="1" si="158">ROUND(SUM(Q119:Q121),0)</f>
        <v>0</v>
      </c>
      <c r="R122" s="32">
        <f t="shared" ca="1" si="158"/>
        <v>0</v>
      </c>
      <c r="S122" s="32">
        <f ca="1">ROUND(SUM(S119:S121),0)</f>
        <v>0</v>
      </c>
      <c r="T122" s="33"/>
      <c r="U122" s="32">
        <f t="shared" ca="1" si="158"/>
        <v>0</v>
      </c>
      <c r="V122" s="32">
        <f t="shared" ca="1" si="158"/>
        <v>0</v>
      </c>
      <c r="W122" s="32">
        <f ca="1">ROUND(SUM(W119:W121),0)</f>
        <v>0</v>
      </c>
      <c r="X122" s="32">
        <f t="shared" ca="1" si="158"/>
        <v>0</v>
      </c>
      <c r="Y122" s="32">
        <f t="shared" ca="1" si="158"/>
        <v>0</v>
      </c>
      <c r="Z122" s="32">
        <f t="shared" ca="1" si="158"/>
        <v>0</v>
      </c>
      <c r="AA122" s="32">
        <f t="shared" ca="1" si="158"/>
        <v>0</v>
      </c>
      <c r="AB122" s="32">
        <f ca="1">ROUND(SUM(H122:AA122),0)</f>
        <v>54470</v>
      </c>
    </row>
    <row r="123" spans="1:28" ht="12.75" customHeight="1">
      <c r="A123" s="35"/>
      <c r="B123" s="120" t="s">
        <v>121</v>
      </c>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row>
    <row r="124" spans="1:28" ht="12.75" customHeight="1">
      <c r="A124" s="31">
        <v>3535</v>
      </c>
      <c r="B124" s="32" t="s">
        <v>87</v>
      </c>
      <c r="C124" s="32">
        <f ca="1">SUMIF(lines,$A124,day)</f>
        <v>60898.41</v>
      </c>
      <c r="D124" s="32">
        <f ca="1">SUMIF(lines,$A124,special)</f>
        <v>0</v>
      </c>
      <c r="E124" s="32">
        <f ca="1">SUMIF(lines,$A124,occday)</f>
        <v>0</v>
      </c>
      <c r="F124" s="32">
        <f ca="1">SUMIF(lines,$A124,other)</f>
        <v>0</v>
      </c>
      <c r="G124" s="33"/>
      <c r="H124" s="32">
        <f ca="1">ROUND(SUM(C124:F124),0)</f>
        <v>60898</v>
      </c>
      <c r="I124" s="33"/>
      <c r="J124" s="32">
        <f ca="1">SUMIF(lines,$A124,TitleI)</f>
        <v>0</v>
      </c>
      <c r="K124" s="32">
        <f ca="1">SUMIF(lines,$A124,IDEA)</f>
        <v>0</v>
      </c>
      <c r="L124" s="32">
        <f ca="1">SUMIF(lines,$A124,ESSERI)</f>
        <v>0</v>
      </c>
      <c r="M124" s="32">
        <f ca="1">SUMIF(lines,$A124,ESSERII)</f>
        <v>0</v>
      </c>
      <c r="N124" s="32">
        <f ca="1">SUMIF(lines,$A124,ESSERIII)</f>
        <v>0</v>
      </c>
      <c r="O124" s="32">
        <f ca="1">SUMIF(lines,$A124,ESSERG)</f>
        <v>0</v>
      </c>
      <c r="P124" s="32">
        <f ca="1">SUMIF(lines,$A124,GEER)</f>
        <v>0</v>
      </c>
      <c r="Q124" s="32">
        <f ca="1">SUMIF(lines,$A124,doefed)</f>
        <v>0</v>
      </c>
      <c r="R124" s="32">
        <f ca="1">SUMIF(lines,$A124,adultfed)</f>
        <v>0</v>
      </c>
      <c r="S124" s="32">
        <f ca="1">SUMIF(lines,$A124,otherfed)</f>
        <v>0</v>
      </c>
      <c r="T124" s="33"/>
      <c r="U124" s="32">
        <f ca="1">SUMIF(lines,$A124,doestate)</f>
        <v>0</v>
      </c>
      <c r="V124" s="32">
        <f ca="1">SUMIF(lines,$A124,adultstate)</f>
        <v>0</v>
      </c>
      <c r="W124" s="32">
        <f ca="1">SUMIF(lines,$A124,otherstate)</f>
        <v>0</v>
      </c>
      <c r="X124" s="32">
        <f ca="1">SUMIF(lines,$A124,circuitbreaker)</f>
        <v>0</v>
      </c>
      <c r="Y124" s="32">
        <f ca="1">SUMIF(lines,$A124,private)</f>
        <v>0</v>
      </c>
      <c r="Z124" s="32">
        <f ca="1">SUMIF(lines,$A124,schchoice)</f>
        <v>0</v>
      </c>
      <c r="AA124" s="32">
        <f ca="1">SUMIF(lines,$A124,otherreceipts)</f>
        <v>0</v>
      </c>
      <c r="AB124" s="32">
        <f ca="1">ROUND(SUM(H124:AA124),0)</f>
        <v>60898</v>
      </c>
    </row>
    <row r="125" spans="1:28" ht="12.75" customHeight="1">
      <c r="A125" s="35"/>
      <c r="B125" s="120" t="s">
        <v>122</v>
      </c>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row>
    <row r="126" spans="1:28" ht="12.75" customHeight="1">
      <c r="A126" s="31">
        <v>3540</v>
      </c>
      <c r="B126" s="32" t="s">
        <v>85</v>
      </c>
      <c r="C126" s="32">
        <f ca="1">SUMIF(lines,$A126,day)</f>
        <v>0</v>
      </c>
      <c r="D126" s="32">
        <f ca="1">SUMIF(lines,$A126,special)</f>
        <v>0</v>
      </c>
      <c r="E126" s="32">
        <f ca="1">SUMIF(lines,$A126,occday)</f>
        <v>0</v>
      </c>
      <c r="F126" s="32">
        <f ca="1">SUMIF(lines,$A126,other)</f>
        <v>0</v>
      </c>
      <c r="G126" s="33"/>
      <c r="H126" s="32">
        <f ca="1">ROUND(SUM(C126:F126),0)</f>
        <v>0</v>
      </c>
      <c r="I126" s="33"/>
      <c r="J126" s="32">
        <f ca="1">SUMIF(lines,$A126,TitleI)</f>
        <v>0</v>
      </c>
      <c r="K126" s="32">
        <f ca="1">SUMIF(lines,$A126,IDEA)</f>
        <v>0</v>
      </c>
      <c r="L126" s="32">
        <f ca="1">SUMIF(lines,$A126,ESSERI)</f>
        <v>0</v>
      </c>
      <c r="M126" s="32">
        <f ca="1">SUMIF(lines,$A126,ESSERII)</f>
        <v>0</v>
      </c>
      <c r="N126" s="32">
        <f ca="1">SUMIF(lines,$A126,ESSERIII)</f>
        <v>0</v>
      </c>
      <c r="O126" s="32">
        <f ca="1">SUMIF(lines,$A126,ESSERG)</f>
        <v>0</v>
      </c>
      <c r="P126" s="32">
        <f ca="1">SUMIF(lines,$A126,GEER)</f>
        <v>0</v>
      </c>
      <c r="Q126" s="32">
        <f ca="1">SUMIF(lines,$A126,doefed)</f>
        <v>0</v>
      </c>
      <c r="R126" s="32">
        <f ca="1">SUMIF(lines,$A126,adultfed)</f>
        <v>0</v>
      </c>
      <c r="S126" s="32">
        <f ca="1">SUMIF(lines,$A126,otherfed)</f>
        <v>0</v>
      </c>
      <c r="T126" s="33"/>
      <c r="U126" s="32">
        <f ca="1">SUMIF(lines,$A126,doestate)</f>
        <v>0</v>
      </c>
      <c r="V126" s="32">
        <f ca="1">SUMIF(lines,$A126,adultstate)</f>
        <v>0</v>
      </c>
      <c r="W126" s="32">
        <f ca="1">SUMIF(lines,$A126,otherstate)</f>
        <v>0</v>
      </c>
      <c r="X126" s="32">
        <f ca="1">SUMIF(lines,$A126,circuitbreaker)</f>
        <v>0</v>
      </c>
      <c r="Y126" s="32">
        <f ca="1">SUMIF(lines,$A126,private)</f>
        <v>0</v>
      </c>
      <c r="Z126" s="32">
        <f ca="1">SUMIF(lines,$A126,schchoice)</f>
        <v>0</v>
      </c>
      <c r="AA126" s="32">
        <f ca="1">SUMIF(lines,$A126,otherreceipts)</f>
        <v>0</v>
      </c>
      <c r="AB126" s="32">
        <f ca="1">ROUND(SUM(H126:AA126),0)</f>
        <v>0</v>
      </c>
    </row>
    <row r="127" spans="1:28" ht="12.75" customHeight="1">
      <c r="A127" s="31">
        <v>3541</v>
      </c>
      <c r="B127" s="32" t="s">
        <v>86</v>
      </c>
      <c r="C127" s="32">
        <f ca="1">SUMIF(lines,$A127,day)</f>
        <v>8205</v>
      </c>
      <c r="D127" s="32">
        <f ca="1">SUMIF(lines,$A127,special)</f>
        <v>0</v>
      </c>
      <c r="E127" s="32">
        <f ca="1">SUMIF(lines,$A127,occday)</f>
        <v>0</v>
      </c>
      <c r="F127" s="32">
        <f ca="1">SUMIF(lines,$A127,other)</f>
        <v>0</v>
      </c>
      <c r="G127" s="33"/>
      <c r="H127" s="32">
        <f ca="1">ROUND(SUM(C127:F127),0)</f>
        <v>8205</v>
      </c>
      <c r="I127" s="33"/>
      <c r="J127" s="32">
        <f ca="1">SUMIF(lines,$A127,TitleI)</f>
        <v>0</v>
      </c>
      <c r="K127" s="32">
        <f ca="1">SUMIF(lines,$A127,IDEA)</f>
        <v>0</v>
      </c>
      <c r="L127" s="32">
        <f ca="1">SUMIF(lines,$A127,ESSERI)</f>
        <v>0</v>
      </c>
      <c r="M127" s="32">
        <f ca="1">SUMIF(lines,$A127,ESSERII)</f>
        <v>0</v>
      </c>
      <c r="N127" s="32">
        <f ca="1">SUMIF(lines,$A127,ESSERIII)</f>
        <v>0</v>
      </c>
      <c r="O127" s="32">
        <f ca="1">SUMIF(lines,$A127,ESSERG)</f>
        <v>0</v>
      </c>
      <c r="P127" s="32">
        <f ca="1">SUMIF(lines,$A127,GEER)</f>
        <v>0</v>
      </c>
      <c r="Q127" s="32">
        <f ca="1">SUMIF(lines,$A127,doefed)</f>
        <v>0</v>
      </c>
      <c r="R127" s="32">
        <f ca="1">SUMIF(lines,$A127,adultfed)</f>
        <v>0</v>
      </c>
      <c r="S127" s="32">
        <f ca="1">SUMIF(lines,$A127,otherfed)</f>
        <v>0</v>
      </c>
      <c r="T127" s="33"/>
      <c r="U127" s="32">
        <f ca="1">SUMIF(lines,$A127,doestate)</f>
        <v>0</v>
      </c>
      <c r="V127" s="32">
        <f ca="1">SUMIF(lines,$A127,adultstate)</f>
        <v>0</v>
      </c>
      <c r="W127" s="32">
        <f ca="1">SUMIF(lines,$A127,otherstate)</f>
        <v>0</v>
      </c>
      <c r="X127" s="32">
        <f ca="1">SUMIF(lines,$A127,circuitbreaker)</f>
        <v>0</v>
      </c>
      <c r="Y127" s="32">
        <f ca="1">SUMIF(lines,$A127,private)</f>
        <v>0</v>
      </c>
      <c r="Z127" s="32">
        <f ca="1">SUMIF(lines,$A127,schchoice)</f>
        <v>0</v>
      </c>
      <c r="AA127" s="32">
        <f ca="1">SUMIF(lines,$A127,otherreceipts)</f>
        <v>0</v>
      </c>
      <c r="AB127" s="32">
        <f ca="1">ROUND(SUM(H127:AA127),0)</f>
        <v>8205</v>
      </c>
    </row>
    <row r="128" spans="1:28" ht="12.75" customHeight="1">
      <c r="A128" s="31">
        <v>3542</v>
      </c>
      <c r="B128" s="32" t="s">
        <v>87</v>
      </c>
      <c r="C128" s="32">
        <f ca="1">SUMIF(lines,$A128,day)</f>
        <v>8275.27</v>
      </c>
      <c r="D128" s="32">
        <f ca="1">SUMIF(lines,$A128,special)</f>
        <v>0</v>
      </c>
      <c r="E128" s="32">
        <f ca="1">SUMIF(lines,$A128,occday)</f>
        <v>0</v>
      </c>
      <c r="F128" s="32">
        <f ca="1">SUMIF(lines,$A128,other)</f>
        <v>0</v>
      </c>
      <c r="G128" s="33"/>
      <c r="H128" s="32">
        <f ca="1">ROUND(SUM(C128:F128),0)</f>
        <v>8275</v>
      </c>
      <c r="I128" s="33"/>
      <c r="J128" s="32">
        <f ca="1">SUMIF(lines,$A128,TitleI)</f>
        <v>0</v>
      </c>
      <c r="K128" s="32">
        <f ca="1">SUMIF(lines,$A128,IDEA)</f>
        <v>0</v>
      </c>
      <c r="L128" s="32">
        <f ca="1">SUMIF(lines,$A128,ESSERI)</f>
        <v>0</v>
      </c>
      <c r="M128" s="32">
        <f ca="1">SUMIF(lines,$A128,ESSERII)</f>
        <v>0</v>
      </c>
      <c r="N128" s="32">
        <f ca="1">SUMIF(lines,$A128,ESSERIII)</f>
        <v>0</v>
      </c>
      <c r="O128" s="32">
        <f ca="1">SUMIF(lines,$A128,ESSERG)</f>
        <v>0</v>
      </c>
      <c r="P128" s="32">
        <f ca="1">SUMIF(lines,$A128,GEER)</f>
        <v>0</v>
      </c>
      <c r="Q128" s="32">
        <f ca="1">SUMIF(lines,$A128,doefed)</f>
        <v>0</v>
      </c>
      <c r="R128" s="32">
        <f ca="1">SUMIF(lines,$A128,adultfed)</f>
        <v>0</v>
      </c>
      <c r="S128" s="32">
        <f ca="1">SUMIF(lines,$A128,otherfed)</f>
        <v>0</v>
      </c>
      <c r="T128" s="33"/>
      <c r="U128" s="32">
        <f ca="1">SUMIF(lines,$A128,doestate)</f>
        <v>0</v>
      </c>
      <c r="V128" s="32">
        <f ca="1">SUMIF(lines,$A128,adultstate)</f>
        <v>0</v>
      </c>
      <c r="W128" s="32">
        <f ca="1">SUMIF(lines,$A128,otherstate)</f>
        <v>0</v>
      </c>
      <c r="X128" s="32">
        <f ca="1">SUMIF(lines,$A128,circuitbreaker)</f>
        <v>0</v>
      </c>
      <c r="Y128" s="32">
        <f ca="1">SUMIF(lines,$A128,private)</f>
        <v>0</v>
      </c>
      <c r="Z128" s="32">
        <f ca="1">SUMIF(lines,$A128,schchoice)</f>
        <v>0</v>
      </c>
      <c r="AA128" s="32">
        <f ca="1">SUMIF(lines,$A128,otherreceipts)</f>
        <v>0</v>
      </c>
      <c r="AB128" s="32">
        <f ca="1">ROUND(SUM(H128:AA128),0)</f>
        <v>8275</v>
      </c>
    </row>
    <row r="129" spans="1:28" ht="12.75" customHeight="1">
      <c r="A129" s="31">
        <v>3543</v>
      </c>
      <c r="B129" s="32" t="s">
        <v>88</v>
      </c>
      <c r="C129" s="32">
        <f ca="1">SUMIF(lines,$A129,day)</f>
        <v>4365</v>
      </c>
      <c r="D129" s="32">
        <f ca="1">SUMIF(lines,$A129,special)</f>
        <v>0</v>
      </c>
      <c r="E129" s="32">
        <f ca="1">SUMIF(lines,$A129,occday)</f>
        <v>0</v>
      </c>
      <c r="F129" s="32">
        <f ca="1">SUMIF(lines,$A129,other)</f>
        <v>0</v>
      </c>
      <c r="G129" s="33"/>
      <c r="H129" s="32">
        <f ca="1">ROUND(SUM(C129:F129),0)</f>
        <v>4365</v>
      </c>
      <c r="I129" s="33"/>
      <c r="J129" s="32">
        <f ca="1">SUMIF(lines,$A129,TitleI)</f>
        <v>0</v>
      </c>
      <c r="K129" s="32">
        <f ca="1">SUMIF(lines,$A129,IDEA)</f>
        <v>0</v>
      </c>
      <c r="L129" s="32">
        <f ca="1">SUMIF(lines,$A129,ESSERI)</f>
        <v>0</v>
      </c>
      <c r="M129" s="32">
        <f ca="1">SUMIF(lines,$A129,ESSERII)</f>
        <v>0</v>
      </c>
      <c r="N129" s="32">
        <f ca="1">SUMIF(lines,$A129,ESSERIII)</f>
        <v>0</v>
      </c>
      <c r="O129" s="32">
        <f ca="1">SUMIF(lines,$A129,ESSERG)</f>
        <v>0</v>
      </c>
      <c r="P129" s="32">
        <f ca="1">SUMIF(lines,$A129,GEER)</f>
        <v>0</v>
      </c>
      <c r="Q129" s="32">
        <f ca="1">SUMIF(lines,$A129,doefed)</f>
        <v>0</v>
      </c>
      <c r="R129" s="32">
        <f ca="1">SUMIF(lines,$A129,adultfed)</f>
        <v>0</v>
      </c>
      <c r="S129" s="32">
        <f ca="1">SUMIF(lines,$A129,otherfed)</f>
        <v>0</v>
      </c>
      <c r="T129" s="33"/>
      <c r="U129" s="32">
        <f ca="1">SUMIF(lines,$A129,doestate)</f>
        <v>0</v>
      </c>
      <c r="V129" s="32">
        <f ca="1">SUMIF(lines,$A129,adultstate)</f>
        <v>0</v>
      </c>
      <c r="W129" s="32">
        <f ca="1">SUMIF(lines,$A129,otherstate)</f>
        <v>0</v>
      </c>
      <c r="X129" s="32">
        <f ca="1">SUMIF(lines,$A129,circuitbreaker)</f>
        <v>0</v>
      </c>
      <c r="Y129" s="32">
        <f ca="1">SUMIF(lines,$A129,private)</f>
        <v>0</v>
      </c>
      <c r="Z129" s="32">
        <f ca="1">SUMIF(lines,$A129,schchoice)</f>
        <v>0</v>
      </c>
      <c r="AA129" s="32">
        <f ca="1">SUMIF(lines,$A129,otherreceipts)</f>
        <v>0</v>
      </c>
      <c r="AB129" s="32">
        <f ca="1">ROUND(SUM(H129:AA129),0)</f>
        <v>4365</v>
      </c>
    </row>
    <row r="130" spans="1:28" ht="12.75" customHeight="1">
      <c r="A130" s="31">
        <v>3544</v>
      </c>
      <c r="B130" s="34" t="s">
        <v>89</v>
      </c>
      <c r="C130" s="32">
        <f ca="1">ROUND(SUM(C126:C129),0)</f>
        <v>20845</v>
      </c>
      <c r="D130" s="32">
        <f ca="1">ROUND(SUM(D126:D129),0)</f>
        <v>0</v>
      </c>
      <c r="E130" s="32">
        <f ca="1">ROUND(SUM(E126:E129),0)</f>
        <v>0</v>
      </c>
      <c r="F130" s="32">
        <f ca="1">ROUND(SUM(F126:F129),0)</f>
        <v>0</v>
      </c>
      <c r="G130" s="33"/>
      <c r="H130" s="32">
        <f ca="1">ROUND(SUM(C130:F130),0)</f>
        <v>20845</v>
      </c>
      <c r="I130" s="33"/>
      <c r="J130" s="32">
        <f t="shared" ref="J130:P130" ca="1" si="159">ROUND(SUM(J126:J129),0)</f>
        <v>0</v>
      </c>
      <c r="K130" s="32">
        <f t="shared" ca="1" si="159"/>
        <v>0</v>
      </c>
      <c r="L130" s="32">
        <f t="shared" ca="1" si="159"/>
        <v>0</v>
      </c>
      <c r="M130" s="32">
        <f t="shared" ca="1" si="159"/>
        <v>0</v>
      </c>
      <c r="N130" s="32">
        <f t="shared" ca="1" si="159"/>
        <v>0</v>
      </c>
      <c r="O130" s="32">
        <f t="shared" ca="1" si="159"/>
        <v>0</v>
      </c>
      <c r="P130" s="32">
        <f t="shared" ca="1" si="159"/>
        <v>0</v>
      </c>
      <c r="Q130" s="32">
        <f t="shared" ref="Q130:AA130" ca="1" si="160">ROUND(SUM(Q126:Q129),0)</f>
        <v>0</v>
      </c>
      <c r="R130" s="32">
        <f t="shared" ca="1" si="160"/>
        <v>0</v>
      </c>
      <c r="S130" s="32">
        <f ca="1">ROUND(SUM(S126:S129),0)</f>
        <v>0</v>
      </c>
      <c r="T130" s="33"/>
      <c r="U130" s="32">
        <f t="shared" ca="1" si="160"/>
        <v>0</v>
      </c>
      <c r="V130" s="32">
        <f t="shared" ca="1" si="160"/>
        <v>0</v>
      </c>
      <c r="W130" s="32">
        <f ca="1">ROUND(SUM(W126:W129),0)</f>
        <v>0</v>
      </c>
      <c r="X130" s="32">
        <f t="shared" ca="1" si="160"/>
        <v>0</v>
      </c>
      <c r="Y130" s="32">
        <f t="shared" ca="1" si="160"/>
        <v>0</v>
      </c>
      <c r="Z130" s="32">
        <f t="shared" ca="1" si="160"/>
        <v>0</v>
      </c>
      <c r="AA130" s="32">
        <f t="shared" ca="1" si="160"/>
        <v>0</v>
      </c>
      <c r="AB130" s="32">
        <f ca="1">ROUND(SUM(H130:AA130),0)</f>
        <v>20845</v>
      </c>
    </row>
    <row r="131" spans="1:28" ht="12.75" customHeight="1">
      <c r="A131" s="35"/>
      <c r="B131" s="120" t="s">
        <v>1104</v>
      </c>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row>
    <row r="132" spans="1:28" ht="12.75" customHeight="1">
      <c r="A132" s="31">
        <v>3545</v>
      </c>
      <c r="B132" s="32" t="s">
        <v>86</v>
      </c>
      <c r="C132" s="32">
        <f ca="1">SUMIF(lines,$A132,day)</f>
        <v>50357.68</v>
      </c>
      <c r="D132" s="32">
        <f ca="1">SUMIF(lines,$A132,special)</f>
        <v>0</v>
      </c>
      <c r="E132" s="32">
        <f ca="1">SUMIF(lines,$A132,occday)</f>
        <v>0</v>
      </c>
      <c r="F132" s="32">
        <f ca="1">SUMIF(lines,$A132,other)</f>
        <v>0</v>
      </c>
      <c r="G132" s="33"/>
      <c r="H132" s="32">
        <f ca="1">ROUND(SUM(C132:F132),0)</f>
        <v>50358</v>
      </c>
      <c r="I132" s="33"/>
      <c r="J132" s="32">
        <f ca="1">SUMIF(lines,$A132,TitleI)</f>
        <v>0</v>
      </c>
      <c r="K132" s="32">
        <f ca="1">SUMIF(lines,$A132,IDEA)</f>
        <v>0</v>
      </c>
      <c r="L132" s="32">
        <f ca="1">SUMIF(lines,$A132,ESSERI)</f>
        <v>0</v>
      </c>
      <c r="M132" s="32">
        <f ca="1">SUMIF(lines,$A132,ESSERII)</f>
        <v>0</v>
      </c>
      <c r="N132" s="32">
        <f ca="1">SUMIF(lines,$A132,ESSERIII)</f>
        <v>0</v>
      </c>
      <c r="O132" s="32">
        <f ca="1">SUMIF(lines,$A132,ESSERG)</f>
        <v>0</v>
      </c>
      <c r="P132" s="32">
        <f ca="1">SUMIF(lines,$A132,GEER)</f>
        <v>0</v>
      </c>
      <c r="Q132" s="32">
        <f ca="1">SUMIF(lines,$A132,doefed)</f>
        <v>0</v>
      </c>
      <c r="R132" s="32">
        <f ca="1">SUMIF(lines,$A132,adultfed)</f>
        <v>0</v>
      </c>
      <c r="S132" s="32">
        <f ca="1">SUMIF(lines,$A132,otherfed)</f>
        <v>0</v>
      </c>
      <c r="T132" s="33"/>
      <c r="U132" s="32">
        <f ca="1">SUMIF(lines,$A132,doestate)</f>
        <v>0</v>
      </c>
      <c r="V132" s="32">
        <f ca="1">SUMIF(lines,$A132,adultstate)</f>
        <v>0</v>
      </c>
      <c r="W132" s="32">
        <f ca="1">SUMIF(lines,$A132,otherstate)</f>
        <v>0</v>
      </c>
      <c r="X132" s="32">
        <f ca="1">SUMIF(lines,$A132,circuitbreaker)</f>
        <v>0</v>
      </c>
      <c r="Y132" s="32">
        <f ca="1">SUMIF(lines,$A132,private)</f>
        <v>0</v>
      </c>
      <c r="Z132" s="32">
        <f ca="1">SUMIF(lines,$A132,schchoice)</f>
        <v>0</v>
      </c>
      <c r="AA132" s="32">
        <f ca="1">SUMIF(lines,$A132,otherreceipts)</f>
        <v>0</v>
      </c>
      <c r="AB132" s="32">
        <f ca="1">ROUND(SUM(H132:AA132),0)</f>
        <v>50358</v>
      </c>
    </row>
    <row r="133" spans="1:28" ht="12.75" customHeight="1">
      <c r="A133" s="31">
        <v>3546</v>
      </c>
      <c r="B133" s="32" t="s">
        <v>87</v>
      </c>
      <c r="C133" s="32">
        <f ca="1">SUMIF(lines,$A133,day)</f>
        <v>10363.799999999999</v>
      </c>
      <c r="D133" s="32">
        <f ca="1">SUMIF(lines,$A133,special)</f>
        <v>0</v>
      </c>
      <c r="E133" s="32">
        <f ca="1">SUMIF(lines,$A133,occday)</f>
        <v>0</v>
      </c>
      <c r="F133" s="32">
        <f ca="1">SUMIF(lines,$A133,other)</f>
        <v>0</v>
      </c>
      <c r="G133" s="33"/>
      <c r="H133" s="32">
        <f ca="1">ROUND(SUM(C133:F133),0)</f>
        <v>10364</v>
      </c>
      <c r="I133" s="33"/>
      <c r="J133" s="32">
        <f ca="1">SUMIF(lines,$A133,TitleI)</f>
        <v>0</v>
      </c>
      <c r="K133" s="32">
        <f ca="1">SUMIF(lines,$A133,IDEA)</f>
        <v>0</v>
      </c>
      <c r="L133" s="32">
        <f ca="1">SUMIF(lines,$A133,ESSERI)</f>
        <v>0</v>
      </c>
      <c r="M133" s="32">
        <f ca="1">SUMIF(lines,$A133,ESSERII)</f>
        <v>0</v>
      </c>
      <c r="N133" s="32">
        <f ca="1">SUMIF(lines,$A133,ESSERIII)</f>
        <v>0</v>
      </c>
      <c r="O133" s="32">
        <f ca="1">SUMIF(lines,$A133,ESSERG)</f>
        <v>0</v>
      </c>
      <c r="P133" s="32">
        <f ca="1">SUMIF(lines,$A133,GEER)</f>
        <v>0</v>
      </c>
      <c r="Q133" s="32">
        <f ca="1">SUMIF(lines,$A133,doefed)</f>
        <v>0</v>
      </c>
      <c r="R133" s="32">
        <f ca="1">SUMIF(lines,$A133,adultfed)</f>
        <v>0</v>
      </c>
      <c r="S133" s="32">
        <f ca="1">SUMIF(lines,$A133,otherfed)</f>
        <v>0</v>
      </c>
      <c r="T133" s="33"/>
      <c r="U133" s="32">
        <f ca="1">SUMIF(lines,$A133,doestate)</f>
        <v>0</v>
      </c>
      <c r="V133" s="32">
        <f ca="1">SUMIF(lines,$A133,adultstate)</f>
        <v>0</v>
      </c>
      <c r="W133" s="32">
        <f ca="1">SUMIF(lines,$A133,otherstate)</f>
        <v>0</v>
      </c>
      <c r="X133" s="32">
        <f ca="1">SUMIF(lines,$A133,circuitbreaker)</f>
        <v>0</v>
      </c>
      <c r="Y133" s="32">
        <f ca="1">SUMIF(lines,$A133,private)</f>
        <v>0</v>
      </c>
      <c r="Z133" s="32">
        <f ca="1">SUMIF(lines,$A133,schchoice)</f>
        <v>0</v>
      </c>
      <c r="AA133" s="32">
        <f ca="1">SUMIF(lines,$A133,otherreceipts)</f>
        <v>0</v>
      </c>
      <c r="AB133" s="32">
        <f ca="1">ROUND(SUM(H133:AA133),0)</f>
        <v>10364</v>
      </c>
    </row>
    <row r="134" spans="1:28" ht="12.75" customHeight="1">
      <c r="A134" s="31">
        <v>3547</v>
      </c>
      <c r="B134" s="32" t="s">
        <v>88</v>
      </c>
      <c r="C134" s="32">
        <f ca="1">SUMIF(lines,$A134,day)</f>
        <v>0</v>
      </c>
      <c r="D134" s="32">
        <f ca="1">SUMIF(lines,$A134,special)</f>
        <v>0</v>
      </c>
      <c r="E134" s="32">
        <f ca="1">SUMIF(lines,$A134,occday)</f>
        <v>0</v>
      </c>
      <c r="F134" s="32">
        <f ca="1">SUMIF(lines,$A134,other)</f>
        <v>0</v>
      </c>
      <c r="G134" s="33"/>
      <c r="H134" s="32">
        <f ca="1">ROUND(SUM(C134:F134),0)</f>
        <v>0</v>
      </c>
      <c r="I134" s="33"/>
      <c r="J134" s="32">
        <f ca="1">SUMIF(lines,$A134,TitleI)</f>
        <v>0</v>
      </c>
      <c r="K134" s="32">
        <f ca="1">SUMIF(lines,$A134,IDEA)</f>
        <v>0</v>
      </c>
      <c r="L134" s="32">
        <f ca="1">SUMIF(lines,$A134,ESSERI)</f>
        <v>0</v>
      </c>
      <c r="M134" s="32">
        <f ca="1">SUMIF(lines,$A134,ESSERII)</f>
        <v>0</v>
      </c>
      <c r="N134" s="32">
        <f ca="1">SUMIF(lines,$A134,ESSERIII)</f>
        <v>0</v>
      </c>
      <c r="O134" s="32">
        <f ca="1">SUMIF(lines,$A134,ESSERG)</f>
        <v>0</v>
      </c>
      <c r="P134" s="32">
        <f ca="1">SUMIF(lines,$A134,GEER)</f>
        <v>0</v>
      </c>
      <c r="Q134" s="32">
        <f ca="1">SUMIF(lines,$A134,doefed)</f>
        <v>0</v>
      </c>
      <c r="R134" s="32">
        <f ca="1">SUMIF(lines,$A134,adultfed)</f>
        <v>0</v>
      </c>
      <c r="S134" s="32">
        <f ca="1">SUMIF(lines,$A134,otherfed)</f>
        <v>0</v>
      </c>
      <c r="T134" s="33"/>
      <c r="U134" s="32">
        <f ca="1">SUMIF(lines,$A134,doestate)</f>
        <v>0</v>
      </c>
      <c r="V134" s="32">
        <f ca="1">SUMIF(lines,$A134,adultstate)</f>
        <v>0</v>
      </c>
      <c r="W134" s="32">
        <f ca="1">SUMIF(lines,$A134,otherstate)</f>
        <v>0</v>
      </c>
      <c r="X134" s="32">
        <f ca="1">SUMIF(lines,$A134,circuitbreaker)</f>
        <v>0</v>
      </c>
      <c r="Y134" s="32">
        <f ca="1">SUMIF(lines,$A134,private)</f>
        <v>0</v>
      </c>
      <c r="Z134" s="32">
        <f ca="1">SUMIF(lines,$A134,schchoice)</f>
        <v>0</v>
      </c>
      <c r="AA134" s="32">
        <f ca="1">SUMIF(lines,$A134,otherreceipts)</f>
        <v>0</v>
      </c>
      <c r="AB134" s="32">
        <f ca="1">ROUND(SUM(H134:AA134),0)</f>
        <v>0</v>
      </c>
    </row>
    <row r="135" spans="1:28" ht="12.75" customHeight="1">
      <c r="A135" s="31">
        <v>3548</v>
      </c>
      <c r="B135" s="34" t="s">
        <v>89</v>
      </c>
      <c r="C135" s="32">
        <f ca="1">ROUND(SUM(C132:C134),0)</f>
        <v>60721</v>
      </c>
      <c r="D135" s="32">
        <f ca="1">ROUND(SUM(D132:D134),0)</f>
        <v>0</v>
      </c>
      <c r="E135" s="32">
        <f ca="1">ROUND(SUM(E132:E134),0)</f>
        <v>0</v>
      </c>
      <c r="F135" s="32">
        <f ca="1">ROUND(SUM(F132:F134),0)</f>
        <v>0</v>
      </c>
      <c r="G135" s="33"/>
      <c r="H135" s="32">
        <f ca="1">ROUND(SUM(C135:F135),0)</f>
        <v>60721</v>
      </c>
      <c r="I135" s="33"/>
      <c r="J135" s="32">
        <f t="shared" ref="J135:P135" ca="1" si="161">ROUND(SUM(J132:J134),0)</f>
        <v>0</v>
      </c>
      <c r="K135" s="32">
        <f t="shared" ca="1" si="161"/>
        <v>0</v>
      </c>
      <c r="L135" s="32">
        <f t="shared" ca="1" si="161"/>
        <v>0</v>
      </c>
      <c r="M135" s="32">
        <f t="shared" ca="1" si="161"/>
        <v>0</v>
      </c>
      <c r="N135" s="32">
        <f t="shared" ca="1" si="161"/>
        <v>0</v>
      </c>
      <c r="O135" s="32">
        <f t="shared" ca="1" si="161"/>
        <v>0</v>
      </c>
      <c r="P135" s="32">
        <f t="shared" ca="1" si="161"/>
        <v>0</v>
      </c>
      <c r="Q135" s="32">
        <f t="shared" ref="Q135:AA135" ca="1" si="162">ROUND(SUM(Q132:Q134),0)</f>
        <v>0</v>
      </c>
      <c r="R135" s="32">
        <f t="shared" ca="1" si="162"/>
        <v>0</v>
      </c>
      <c r="S135" s="32">
        <f ca="1">ROUND(SUM(S132:S134),0)</f>
        <v>0</v>
      </c>
      <c r="T135" s="33"/>
      <c r="U135" s="32">
        <f t="shared" ca="1" si="162"/>
        <v>0</v>
      </c>
      <c r="V135" s="32">
        <f t="shared" ca="1" si="162"/>
        <v>0</v>
      </c>
      <c r="W135" s="32">
        <f ca="1">ROUND(SUM(W132:W134),0)</f>
        <v>0</v>
      </c>
      <c r="X135" s="32">
        <f t="shared" ca="1" si="162"/>
        <v>0</v>
      </c>
      <c r="Y135" s="32">
        <f t="shared" ca="1" si="162"/>
        <v>0</v>
      </c>
      <c r="Z135" s="32">
        <f t="shared" ca="1" si="162"/>
        <v>0</v>
      </c>
      <c r="AA135" s="32">
        <f t="shared" ca="1" si="162"/>
        <v>0</v>
      </c>
      <c r="AB135" s="32">
        <f ca="1">ROUND(SUM(H135:AA135),0)</f>
        <v>60721</v>
      </c>
    </row>
    <row r="136" spans="1:28" ht="12.75" customHeight="1">
      <c r="A136" s="35"/>
      <c r="B136" s="120" t="s">
        <v>124</v>
      </c>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row>
    <row r="137" spans="1:28" ht="12.75" customHeight="1">
      <c r="A137" s="31">
        <v>3549</v>
      </c>
      <c r="B137" s="32" t="s">
        <v>86</v>
      </c>
      <c r="C137" s="32">
        <f ca="1">SUMIF(lines,$A137,day)</f>
        <v>0</v>
      </c>
      <c r="D137" s="32">
        <f ca="1">SUMIF(lines,$A137,special)</f>
        <v>0</v>
      </c>
      <c r="E137" s="32">
        <f ca="1">SUMIF(lines,$A137,occday)</f>
        <v>0</v>
      </c>
      <c r="F137" s="32">
        <f ca="1">SUMIF(lines,$A137,other)</f>
        <v>0</v>
      </c>
      <c r="G137" s="33"/>
      <c r="H137" s="32">
        <f ca="1">ROUND(SUM(C137:F137),0)</f>
        <v>0</v>
      </c>
      <c r="I137" s="33"/>
      <c r="J137" s="32">
        <f ca="1">SUMIF(lines,$A137,TitleI)</f>
        <v>0</v>
      </c>
      <c r="K137" s="32">
        <f ca="1">SUMIF(lines,$A137,IDEA)</f>
        <v>0</v>
      </c>
      <c r="L137" s="32">
        <f ca="1">SUMIF(lines,$A137,ESSERI)</f>
        <v>0</v>
      </c>
      <c r="M137" s="32">
        <f ca="1">SUMIF(lines,$A137,ESSERII)</f>
        <v>0</v>
      </c>
      <c r="N137" s="32">
        <f ca="1">SUMIF(lines,$A137,ESSERIII)</f>
        <v>0</v>
      </c>
      <c r="O137" s="32">
        <f ca="1">SUMIF(lines,$A137,ESSERG)</f>
        <v>0</v>
      </c>
      <c r="P137" s="32">
        <f ca="1">SUMIF(lines,$A137,GEER)</f>
        <v>0</v>
      </c>
      <c r="Q137" s="32">
        <f ca="1">SUMIF(lines,$A137,doefed)</f>
        <v>0</v>
      </c>
      <c r="R137" s="32">
        <f ca="1">SUMIF(lines,$A137,adultfed)</f>
        <v>0</v>
      </c>
      <c r="S137" s="32">
        <f ca="1">SUMIF(lines,$A137,otherfed)</f>
        <v>0</v>
      </c>
      <c r="T137" s="33"/>
      <c r="U137" s="32">
        <f ca="1">SUMIF(lines,$A137,doestate)</f>
        <v>0</v>
      </c>
      <c r="V137" s="32">
        <f ca="1">SUMIF(lines,$A137,adultstate)</f>
        <v>0</v>
      </c>
      <c r="W137" s="32">
        <f ca="1">SUMIF(lines,$A137,otherstate)</f>
        <v>0</v>
      </c>
      <c r="X137" s="32">
        <f ca="1">SUMIF(lines,$A137,circuitbreaker)</f>
        <v>0</v>
      </c>
      <c r="Y137" s="32">
        <f ca="1">SUMIF(lines,$A137,private)</f>
        <v>0</v>
      </c>
      <c r="Z137" s="32">
        <f ca="1">SUMIF(lines,$A137,schchoice)</f>
        <v>0</v>
      </c>
      <c r="AA137" s="32">
        <f ca="1">SUMIF(lines,$A137,otherreceipts)</f>
        <v>0</v>
      </c>
      <c r="AB137" s="32">
        <f ca="1">ROUND(SUM(H137:AA137),0)</f>
        <v>0</v>
      </c>
    </row>
    <row r="138" spans="1:28" ht="12.75" customHeight="1">
      <c r="A138" s="31">
        <v>3550</v>
      </c>
      <c r="B138" s="32" t="s">
        <v>87</v>
      </c>
      <c r="C138" s="32">
        <f ca="1">SUMIF(lines,$A138,day)</f>
        <v>0</v>
      </c>
      <c r="D138" s="32">
        <f ca="1">SUMIF(lines,$A138,special)</f>
        <v>0</v>
      </c>
      <c r="E138" s="32">
        <f ca="1">SUMIF(lines,$A138,occday)</f>
        <v>0</v>
      </c>
      <c r="F138" s="32">
        <f ca="1">SUMIF(lines,$A138,other)</f>
        <v>0</v>
      </c>
      <c r="G138" s="33"/>
      <c r="H138" s="32">
        <f ca="1">ROUND(SUM(C138:F138),0)</f>
        <v>0</v>
      </c>
      <c r="I138" s="33"/>
      <c r="J138" s="32">
        <f ca="1">SUMIF(lines,$A138,TitleI)</f>
        <v>0</v>
      </c>
      <c r="K138" s="32">
        <f ca="1">SUMIF(lines,$A138,IDEA)</f>
        <v>0</v>
      </c>
      <c r="L138" s="32">
        <f ca="1">SUMIF(lines,$A138,ESSERI)</f>
        <v>0</v>
      </c>
      <c r="M138" s="32">
        <f ca="1">SUMIF(lines,$A138,ESSERII)</f>
        <v>0</v>
      </c>
      <c r="N138" s="32">
        <f ca="1">SUMIF(lines,$A138,ESSERIII)</f>
        <v>0</v>
      </c>
      <c r="O138" s="32">
        <f ca="1">SUMIF(lines,$A138,ESSERG)</f>
        <v>0</v>
      </c>
      <c r="P138" s="32">
        <f ca="1">SUMIF(lines,$A138,GEER)</f>
        <v>0</v>
      </c>
      <c r="Q138" s="32">
        <f ca="1">SUMIF(lines,$A138,doefed)</f>
        <v>0</v>
      </c>
      <c r="R138" s="32">
        <f ca="1">SUMIF(lines,$A138,adultfed)</f>
        <v>0</v>
      </c>
      <c r="S138" s="32">
        <f ca="1">SUMIF(lines,$A138,otherfed)</f>
        <v>0</v>
      </c>
      <c r="T138" s="33"/>
      <c r="U138" s="32">
        <f ca="1">SUMIF(lines,$A138,doestate)</f>
        <v>0</v>
      </c>
      <c r="V138" s="32">
        <f ca="1">SUMIF(lines,$A138,adultstate)</f>
        <v>0</v>
      </c>
      <c r="W138" s="32">
        <f ca="1">SUMIF(lines,$A138,otherstate)</f>
        <v>0</v>
      </c>
      <c r="X138" s="32">
        <f ca="1">SUMIF(lines,$A138,circuitbreaker)</f>
        <v>0</v>
      </c>
      <c r="Y138" s="32">
        <f ca="1">SUMIF(lines,$A138,private)</f>
        <v>0</v>
      </c>
      <c r="Z138" s="32">
        <f ca="1">SUMIF(lines,$A138,schchoice)</f>
        <v>0</v>
      </c>
      <c r="AA138" s="32">
        <f ca="1">SUMIF(lines,$A138,otherreceipts)</f>
        <v>0</v>
      </c>
      <c r="AB138" s="32">
        <f ca="1">ROUND(SUM(H138:AA138),0)</f>
        <v>0</v>
      </c>
    </row>
    <row r="139" spans="1:28" ht="12.75" customHeight="1">
      <c r="A139" s="31">
        <v>3551</v>
      </c>
      <c r="B139" s="32" t="s">
        <v>88</v>
      </c>
      <c r="C139" s="32">
        <f ca="1">SUMIF(lines,$A139,day)</f>
        <v>0</v>
      </c>
      <c r="D139" s="32">
        <f ca="1">SUMIF(lines,$A139,special)</f>
        <v>0</v>
      </c>
      <c r="E139" s="32">
        <f ca="1">SUMIF(lines,$A139,occday)</f>
        <v>0</v>
      </c>
      <c r="F139" s="32">
        <f ca="1">SUMIF(lines,$A139,other)</f>
        <v>0</v>
      </c>
      <c r="G139" s="33"/>
      <c r="H139" s="32">
        <f ca="1">ROUND(SUM(C139:F139),0)</f>
        <v>0</v>
      </c>
      <c r="I139" s="33"/>
      <c r="J139" s="32">
        <f ca="1">SUMIF(lines,$A139,TitleI)</f>
        <v>0</v>
      </c>
      <c r="K139" s="32">
        <f ca="1">SUMIF(lines,$A139,IDEA)</f>
        <v>0</v>
      </c>
      <c r="L139" s="32">
        <f ca="1">SUMIF(lines,$A139,ESSERI)</f>
        <v>0</v>
      </c>
      <c r="M139" s="32">
        <f ca="1">SUMIF(lines,$A139,ESSERII)</f>
        <v>0</v>
      </c>
      <c r="N139" s="32">
        <f ca="1">SUMIF(lines,$A139,ESSERIII)</f>
        <v>0</v>
      </c>
      <c r="O139" s="32">
        <f ca="1">SUMIF(lines,$A139,ESSERG)</f>
        <v>0</v>
      </c>
      <c r="P139" s="32">
        <f ca="1">SUMIF(lines,$A139,GEER)</f>
        <v>0</v>
      </c>
      <c r="Q139" s="32">
        <f ca="1">SUMIF(lines,$A139,doefed)</f>
        <v>0</v>
      </c>
      <c r="R139" s="32">
        <f ca="1">SUMIF(lines,$A139,adultfed)</f>
        <v>0</v>
      </c>
      <c r="S139" s="32">
        <f ca="1">SUMIF(lines,$A139,otherfed)</f>
        <v>0</v>
      </c>
      <c r="T139" s="33"/>
      <c r="U139" s="32">
        <f ca="1">SUMIF(lines,$A139,doestate)</f>
        <v>0</v>
      </c>
      <c r="V139" s="32">
        <f ca="1">SUMIF(lines,$A139,adultstate)</f>
        <v>0</v>
      </c>
      <c r="W139" s="32">
        <f ca="1">SUMIF(lines,$A139,otherstate)</f>
        <v>0</v>
      </c>
      <c r="X139" s="32">
        <f ca="1">SUMIF(lines,$A139,circuitbreaker)</f>
        <v>0</v>
      </c>
      <c r="Y139" s="32">
        <f ca="1">SUMIF(lines,$A139,private)</f>
        <v>0</v>
      </c>
      <c r="Z139" s="32">
        <f ca="1">SUMIF(lines,$A139,schchoice)</f>
        <v>0</v>
      </c>
      <c r="AA139" s="32">
        <f ca="1">SUMIF(lines,$A139,otherreceipts)</f>
        <v>0</v>
      </c>
      <c r="AB139" s="32">
        <f ca="1">ROUND(SUM(H139:AA139),0)</f>
        <v>0</v>
      </c>
    </row>
    <row r="140" spans="1:28" ht="12.75" customHeight="1">
      <c r="A140" s="31">
        <v>3552</v>
      </c>
      <c r="B140" s="34" t="s">
        <v>89</v>
      </c>
      <c r="C140" s="32">
        <f ca="1">ROUND(SUM(C137:C139),0)</f>
        <v>0</v>
      </c>
      <c r="D140" s="32">
        <f ca="1">ROUND(SUM(D137:D139),0)</f>
        <v>0</v>
      </c>
      <c r="E140" s="32">
        <f ca="1">ROUND(SUM(E137:E139),0)</f>
        <v>0</v>
      </c>
      <c r="F140" s="32">
        <f ca="1">ROUND(SUM(F137:F139),0)</f>
        <v>0</v>
      </c>
      <c r="G140" s="33"/>
      <c r="H140" s="32">
        <f ca="1">ROUND(SUM(C140:F140),0)</f>
        <v>0</v>
      </c>
      <c r="I140" s="33"/>
      <c r="J140" s="32">
        <f t="shared" ref="J140:P140" ca="1" si="163">ROUND(SUM(J137:J139),0)</f>
        <v>0</v>
      </c>
      <c r="K140" s="32">
        <f t="shared" ca="1" si="163"/>
        <v>0</v>
      </c>
      <c r="L140" s="32">
        <f t="shared" ca="1" si="163"/>
        <v>0</v>
      </c>
      <c r="M140" s="32">
        <f t="shared" ca="1" si="163"/>
        <v>0</v>
      </c>
      <c r="N140" s="32">
        <f t="shared" ca="1" si="163"/>
        <v>0</v>
      </c>
      <c r="O140" s="32">
        <f t="shared" ca="1" si="163"/>
        <v>0</v>
      </c>
      <c r="P140" s="32">
        <f t="shared" ca="1" si="163"/>
        <v>0</v>
      </c>
      <c r="Q140" s="32">
        <f t="shared" ref="Q140:AA140" ca="1" si="164">ROUND(SUM(Q137:Q139),0)</f>
        <v>0</v>
      </c>
      <c r="R140" s="32">
        <f t="shared" ca="1" si="164"/>
        <v>0</v>
      </c>
      <c r="S140" s="32">
        <f ca="1">ROUND(SUM(S137:S139),0)</f>
        <v>0</v>
      </c>
      <c r="T140" s="33"/>
      <c r="U140" s="32">
        <f t="shared" ca="1" si="164"/>
        <v>0</v>
      </c>
      <c r="V140" s="32">
        <f t="shared" ca="1" si="164"/>
        <v>0</v>
      </c>
      <c r="W140" s="32">
        <f ca="1">ROUND(SUM(W137:W139),0)</f>
        <v>0</v>
      </c>
      <c r="X140" s="32">
        <f t="shared" ca="1" si="164"/>
        <v>0</v>
      </c>
      <c r="Y140" s="32">
        <f t="shared" ca="1" si="164"/>
        <v>0</v>
      </c>
      <c r="Z140" s="32">
        <f t="shared" ca="1" si="164"/>
        <v>0</v>
      </c>
      <c r="AA140" s="32">
        <f t="shared" ca="1" si="164"/>
        <v>0</v>
      </c>
      <c r="AB140" s="32">
        <f ca="1">ROUND(SUM(H140:AA140),0)</f>
        <v>0</v>
      </c>
    </row>
    <row r="141" spans="1:28" ht="12.75" customHeight="1">
      <c r="A141" s="35"/>
      <c r="B141" s="120" t="s">
        <v>125</v>
      </c>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row>
    <row r="142" spans="1:28" ht="12.75" customHeight="1">
      <c r="A142" s="31">
        <v>3553</v>
      </c>
      <c r="B142" s="32" t="s">
        <v>86</v>
      </c>
      <c r="C142" s="32">
        <f ca="1">SUMIF(lines,$A142,day)</f>
        <v>2866</v>
      </c>
      <c r="D142" s="32">
        <f ca="1">SUMIF(lines,$A142,special)</f>
        <v>0</v>
      </c>
      <c r="E142" s="32">
        <f ca="1">SUMIF(lines,$A142,occday)</f>
        <v>0</v>
      </c>
      <c r="F142" s="32">
        <f ca="1">SUMIF(lines,$A142,other)</f>
        <v>0</v>
      </c>
      <c r="G142" s="33"/>
      <c r="H142" s="32">
        <f ca="1">ROUND(SUM(C142:F142),0)</f>
        <v>2866</v>
      </c>
      <c r="I142" s="33"/>
      <c r="J142" s="32">
        <f ca="1">SUMIF(lines,$A142,TitleI)</f>
        <v>0</v>
      </c>
      <c r="K142" s="32">
        <f ca="1">SUMIF(lines,$A142,IDEA)</f>
        <v>0</v>
      </c>
      <c r="L142" s="32">
        <f ca="1">SUMIF(lines,$A142,ESSERI)</f>
        <v>0</v>
      </c>
      <c r="M142" s="32">
        <f ca="1">SUMIF(lines,$A142,ESSERII)</f>
        <v>0</v>
      </c>
      <c r="N142" s="32">
        <f ca="1">SUMIF(lines,$A142,ESSERIII)</f>
        <v>0</v>
      </c>
      <c r="O142" s="32">
        <f ca="1">SUMIF(lines,$A142,ESSERG)</f>
        <v>0</v>
      </c>
      <c r="P142" s="32">
        <f ca="1">SUMIF(lines,$A142,GEER)</f>
        <v>0</v>
      </c>
      <c r="Q142" s="32">
        <f ca="1">SUMIF(lines,$A142,doefed)</f>
        <v>0</v>
      </c>
      <c r="R142" s="32">
        <f ca="1">SUMIF(lines,$A142,adultfed)</f>
        <v>0</v>
      </c>
      <c r="S142" s="32">
        <f ca="1">SUMIF(lines,$A142,otherfed)</f>
        <v>0</v>
      </c>
      <c r="T142" s="33"/>
      <c r="U142" s="32">
        <f ca="1">SUMIF(lines,$A142,doestate)</f>
        <v>0</v>
      </c>
      <c r="V142" s="32">
        <f ca="1">SUMIF(lines,$A142,adultstate)</f>
        <v>0</v>
      </c>
      <c r="W142" s="32">
        <f ca="1">SUMIF(lines,$A142,otherstate)</f>
        <v>0</v>
      </c>
      <c r="X142" s="32">
        <f ca="1">SUMIF(lines,$A142,circuitbreaker)</f>
        <v>0</v>
      </c>
      <c r="Y142" s="32">
        <f ca="1">SUMIF(lines,$A142,private)</f>
        <v>0</v>
      </c>
      <c r="Z142" s="32">
        <f ca="1">SUMIF(lines,$A142,schchoice)</f>
        <v>0</v>
      </c>
      <c r="AA142" s="32">
        <f ca="1">SUMIF(lines,$A142,otherreceipts)</f>
        <v>0</v>
      </c>
      <c r="AB142" s="32">
        <f ca="1">ROUND(SUM(H142:AA142),0)</f>
        <v>2866</v>
      </c>
    </row>
    <row r="143" spans="1:28" ht="12.75" customHeight="1">
      <c r="A143" s="31">
        <v>3554</v>
      </c>
      <c r="B143" s="32" t="s">
        <v>87</v>
      </c>
      <c r="C143" s="32">
        <f ca="1">SUMIF(lines,$A143,day)</f>
        <v>0</v>
      </c>
      <c r="D143" s="32">
        <f ca="1">SUMIF(lines,$A143,special)</f>
        <v>0</v>
      </c>
      <c r="E143" s="32">
        <f ca="1">SUMIF(lines,$A143,occday)</f>
        <v>0</v>
      </c>
      <c r="F143" s="32">
        <f ca="1">SUMIF(lines,$A143,other)</f>
        <v>0</v>
      </c>
      <c r="G143" s="33"/>
      <c r="H143" s="32">
        <f ca="1">ROUND(SUM(C143:F143),0)</f>
        <v>0</v>
      </c>
      <c r="I143" s="33"/>
      <c r="J143" s="32">
        <f ca="1">SUMIF(lines,$A143,TitleI)</f>
        <v>0</v>
      </c>
      <c r="K143" s="32">
        <f ca="1">SUMIF(lines,$A143,IDEA)</f>
        <v>0</v>
      </c>
      <c r="L143" s="32">
        <f ca="1">SUMIF(lines,$A143,ESSERI)</f>
        <v>0</v>
      </c>
      <c r="M143" s="32">
        <f ca="1">SUMIF(lines,$A143,ESSERII)</f>
        <v>0</v>
      </c>
      <c r="N143" s="32">
        <f ca="1">SUMIF(lines,$A143,ESSERIII)</f>
        <v>0</v>
      </c>
      <c r="O143" s="32">
        <f ca="1">SUMIF(lines,$A143,ESSERG)</f>
        <v>0</v>
      </c>
      <c r="P143" s="32">
        <f ca="1">SUMIF(lines,$A143,GEER)</f>
        <v>0</v>
      </c>
      <c r="Q143" s="32">
        <f ca="1">SUMIF(lines,$A143,doefed)</f>
        <v>0</v>
      </c>
      <c r="R143" s="32">
        <f ca="1">SUMIF(lines,$A143,adultfed)</f>
        <v>0</v>
      </c>
      <c r="S143" s="32">
        <f ca="1">SUMIF(lines,$A143,otherfed)</f>
        <v>0</v>
      </c>
      <c r="T143" s="33"/>
      <c r="U143" s="32">
        <f ca="1">SUMIF(lines,$A143,doestate)</f>
        <v>0</v>
      </c>
      <c r="V143" s="32">
        <f ca="1">SUMIF(lines,$A143,adultstate)</f>
        <v>0</v>
      </c>
      <c r="W143" s="32">
        <f ca="1">SUMIF(lines,$A143,otherstate)</f>
        <v>0</v>
      </c>
      <c r="X143" s="32">
        <f ca="1">SUMIF(lines,$A143,circuitbreaker)</f>
        <v>0</v>
      </c>
      <c r="Y143" s="32">
        <f ca="1">SUMIF(lines,$A143,private)</f>
        <v>0</v>
      </c>
      <c r="Z143" s="32">
        <f ca="1">SUMIF(lines,$A143,schchoice)</f>
        <v>0</v>
      </c>
      <c r="AA143" s="32">
        <f ca="1">SUMIF(lines,$A143,otherreceipts)</f>
        <v>0</v>
      </c>
      <c r="AB143" s="32">
        <f ca="1">ROUND(SUM(H143:AA143),0)</f>
        <v>0</v>
      </c>
    </row>
    <row r="144" spans="1:28" ht="12.75" customHeight="1">
      <c r="A144" s="31">
        <v>3555</v>
      </c>
      <c r="B144" s="32" t="s">
        <v>88</v>
      </c>
      <c r="C144" s="32">
        <f ca="1">SUMIF(lines,$A144,day)</f>
        <v>0</v>
      </c>
      <c r="D144" s="32">
        <f ca="1">SUMIF(lines,$A144,special)</f>
        <v>0</v>
      </c>
      <c r="E144" s="32">
        <f ca="1">SUMIF(lines,$A144,occday)</f>
        <v>0</v>
      </c>
      <c r="F144" s="32">
        <f ca="1">SUMIF(lines,$A144,other)</f>
        <v>0</v>
      </c>
      <c r="G144" s="33"/>
      <c r="H144" s="32">
        <f ca="1">ROUND(SUM(C144:F144),0)</f>
        <v>0</v>
      </c>
      <c r="I144" s="33"/>
      <c r="J144" s="32">
        <f ca="1">SUMIF(lines,$A144,TitleI)</f>
        <v>0</v>
      </c>
      <c r="K144" s="32">
        <f ca="1">SUMIF(lines,$A144,IDEA)</f>
        <v>0</v>
      </c>
      <c r="L144" s="32">
        <f ca="1">SUMIF(lines,$A144,ESSERI)</f>
        <v>0</v>
      </c>
      <c r="M144" s="32">
        <f ca="1">SUMIF(lines,$A144,ESSERII)</f>
        <v>0</v>
      </c>
      <c r="N144" s="32">
        <f ca="1">SUMIF(lines,$A144,ESSERIII)</f>
        <v>0</v>
      </c>
      <c r="O144" s="32">
        <f ca="1">SUMIF(lines,$A144,ESSERG)</f>
        <v>0</v>
      </c>
      <c r="P144" s="32">
        <f ca="1">SUMIF(lines,$A144,GEER)</f>
        <v>0</v>
      </c>
      <c r="Q144" s="32">
        <f ca="1">SUMIF(lines,$A144,doefed)</f>
        <v>0</v>
      </c>
      <c r="R144" s="32">
        <f ca="1">SUMIF(lines,$A144,adultfed)</f>
        <v>0</v>
      </c>
      <c r="S144" s="32">
        <f ca="1">SUMIF(lines,$A144,otherfed)</f>
        <v>0</v>
      </c>
      <c r="T144" s="33"/>
      <c r="U144" s="32">
        <f ca="1">SUMIF(lines,$A144,doestate)</f>
        <v>0</v>
      </c>
      <c r="V144" s="32">
        <f ca="1">SUMIF(lines,$A144,adultstate)</f>
        <v>0</v>
      </c>
      <c r="W144" s="32">
        <f ca="1">SUMIF(lines,$A144,otherstate)</f>
        <v>0</v>
      </c>
      <c r="X144" s="32">
        <f ca="1">SUMIF(lines,$A144,circuitbreaker)</f>
        <v>0</v>
      </c>
      <c r="Y144" s="32">
        <f ca="1">SUMIF(lines,$A144,private)</f>
        <v>0</v>
      </c>
      <c r="Z144" s="32">
        <f ca="1">SUMIF(lines,$A144,schchoice)</f>
        <v>0</v>
      </c>
      <c r="AA144" s="32">
        <f ca="1">SUMIF(lines,$A144,otherreceipts)</f>
        <v>0</v>
      </c>
      <c r="AB144" s="32">
        <f ca="1">ROUND(SUM(H144:AA144),0)</f>
        <v>0</v>
      </c>
    </row>
    <row r="145" spans="1:28" ht="12.75" customHeight="1">
      <c r="A145" s="31">
        <v>3556</v>
      </c>
      <c r="B145" s="34" t="s">
        <v>89</v>
      </c>
      <c r="C145" s="32">
        <f ca="1">ROUND(SUM(C142:C144),0)</f>
        <v>2866</v>
      </c>
      <c r="D145" s="32">
        <f ca="1">ROUND(SUM(D142:D144),0)</f>
        <v>0</v>
      </c>
      <c r="E145" s="32">
        <f ca="1">ROUND(SUM(E142:E144),0)</f>
        <v>0</v>
      </c>
      <c r="F145" s="32">
        <f ca="1">ROUND(SUM(F142:F144),0)</f>
        <v>0</v>
      </c>
      <c r="G145" s="33"/>
      <c r="H145" s="32">
        <f ca="1">ROUND(SUM(C145:F145),0)</f>
        <v>2866</v>
      </c>
      <c r="I145" s="33"/>
      <c r="J145" s="32">
        <f t="shared" ref="J145:P145" ca="1" si="165">ROUND(SUM(J142:J144),0)</f>
        <v>0</v>
      </c>
      <c r="K145" s="32">
        <f t="shared" ca="1" si="165"/>
        <v>0</v>
      </c>
      <c r="L145" s="32">
        <f t="shared" ca="1" si="165"/>
        <v>0</v>
      </c>
      <c r="M145" s="32">
        <f t="shared" ca="1" si="165"/>
        <v>0</v>
      </c>
      <c r="N145" s="32">
        <f t="shared" ca="1" si="165"/>
        <v>0</v>
      </c>
      <c r="O145" s="32">
        <f t="shared" ca="1" si="165"/>
        <v>0</v>
      </c>
      <c r="P145" s="32">
        <f t="shared" ca="1" si="165"/>
        <v>0</v>
      </c>
      <c r="Q145" s="32">
        <f ca="1">ROUND(SUM(Q142:Q144),0)</f>
        <v>0</v>
      </c>
      <c r="R145" s="32">
        <f t="shared" ref="R145:AA145" ca="1" si="166">ROUND(SUM(R142:R144),0)</f>
        <v>0</v>
      </c>
      <c r="S145" s="32">
        <f ca="1">ROUND(SUM(S142:S144),0)</f>
        <v>0</v>
      </c>
      <c r="T145" s="33"/>
      <c r="U145" s="32">
        <f t="shared" ca="1" si="166"/>
        <v>0</v>
      </c>
      <c r="V145" s="32">
        <f t="shared" ca="1" si="166"/>
        <v>0</v>
      </c>
      <c r="W145" s="32">
        <f ca="1">ROUND(SUM(W142:W144),0)</f>
        <v>0</v>
      </c>
      <c r="X145" s="32">
        <f t="shared" ca="1" si="166"/>
        <v>0</v>
      </c>
      <c r="Y145" s="32">
        <f t="shared" ca="1" si="166"/>
        <v>0</v>
      </c>
      <c r="Z145" s="32">
        <f t="shared" ca="1" si="166"/>
        <v>0</v>
      </c>
      <c r="AA145" s="32">
        <f t="shared" ca="1" si="166"/>
        <v>0</v>
      </c>
      <c r="AB145" s="32">
        <f ca="1">ROUND(SUM(H145:AA145),0)</f>
        <v>2866</v>
      </c>
    </row>
    <row r="146" spans="1:28" ht="12.75" customHeight="1">
      <c r="A146" s="35"/>
      <c r="B146" s="120" t="s">
        <v>293</v>
      </c>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row>
    <row r="147" spans="1:28" ht="12.75" customHeight="1">
      <c r="A147" s="31">
        <v>3561</v>
      </c>
      <c r="B147" s="32" t="s">
        <v>91</v>
      </c>
      <c r="C147" s="32">
        <f t="shared" ref="C147:C152" ca="1" si="167">SUMIF(lines,$A147,day)</f>
        <v>324799</v>
      </c>
      <c r="D147" s="32">
        <f t="shared" ref="D147:D152" ca="1" si="168">SUMIF(lines,$A147,special)</f>
        <v>191557</v>
      </c>
      <c r="E147" s="32">
        <f t="shared" ref="E147:E152" ca="1" si="169">SUMIF(lines,$A147,occday)</f>
        <v>0</v>
      </c>
      <c r="F147" s="32">
        <f t="shared" ref="F147:F152" ca="1" si="170">SUMIF(lines,$A147,other)</f>
        <v>0</v>
      </c>
      <c r="G147" s="33"/>
      <c r="H147" s="32">
        <f t="shared" ref="H147:H152" ca="1" si="171">ROUND(SUM(C147:F147),0)</f>
        <v>516356</v>
      </c>
      <c r="I147" s="33"/>
      <c r="J147" s="32">
        <f t="shared" ref="J147:J152" ca="1" si="172">SUMIF(lines,$A147,TitleI)</f>
        <v>0</v>
      </c>
      <c r="K147" s="32">
        <f t="shared" ref="K147:K152" ca="1" si="173">SUMIF(lines,$A147,IDEA)</f>
        <v>0</v>
      </c>
      <c r="L147" s="32">
        <f t="shared" ref="L147:L152" ca="1" si="174">SUMIF(lines,$A147,ESSERI)</f>
        <v>0</v>
      </c>
      <c r="M147" s="32">
        <f t="shared" ref="M147:M152" ca="1" si="175">SUMIF(lines,$A147,ESSERII)</f>
        <v>0</v>
      </c>
      <c r="N147" s="32">
        <f t="shared" ref="N147:N152" ca="1" si="176">SUMIF(lines,$A147,ESSERIII)</f>
        <v>0</v>
      </c>
      <c r="O147" s="32">
        <f t="shared" ref="O147:O152" ca="1" si="177">SUMIF(lines,$A147,ESSERG)</f>
        <v>0</v>
      </c>
      <c r="P147" s="32">
        <f t="shared" ref="P147:P152" ca="1" si="178">SUMIF(lines,$A147,GEER)</f>
        <v>0</v>
      </c>
      <c r="Q147" s="32">
        <f t="shared" ref="Q147:Q152" ca="1" si="179">SUMIF(lines,$A147,doefed)</f>
        <v>0</v>
      </c>
      <c r="R147" s="32">
        <f t="shared" ref="R147:R152" ca="1" si="180">SUMIF(lines,$A147,adultfed)</f>
        <v>0</v>
      </c>
      <c r="S147" s="32">
        <f t="shared" ref="S147:S152" ca="1" si="181">SUMIF(lines,$A147,otherfed)</f>
        <v>0</v>
      </c>
      <c r="T147" s="33"/>
      <c r="U147" s="32">
        <f t="shared" ref="U147:U152" ca="1" si="182">SUMIF(lines,$A147,doestate)</f>
        <v>0</v>
      </c>
      <c r="V147" s="32">
        <f t="shared" ref="V147:V152" ca="1" si="183">SUMIF(lines,$A147,adultstate)</f>
        <v>0</v>
      </c>
      <c r="W147" s="32">
        <f t="shared" ref="W147:W152" ca="1" si="184">SUMIF(lines,$A147,otherstate)</f>
        <v>0</v>
      </c>
      <c r="X147" s="32">
        <f t="shared" ref="X147:X152" ca="1" si="185">SUMIF(lines,$A147,circuitbreaker)</f>
        <v>0</v>
      </c>
      <c r="Y147" s="32">
        <f t="shared" ref="Y147:Y152" ca="1" si="186">SUMIF(lines,$A147,private)</f>
        <v>0</v>
      </c>
      <c r="Z147" s="32">
        <f t="shared" ref="Z147:Z152" ca="1" si="187">SUMIF(lines,$A147,schchoice)</f>
        <v>0</v>
      </c>
      <c r="AA147" s="32">
        <f t="shared" ref="AA147:AA152" ca="1" si="188">SUMIF(lines,$A147,otherreceipts)</f>
        <v>0</v>
      </c>
      <c r="AB147" s="32">
        <f t="shared" ref="AB147:AB153" ca="1" si="189">ROUND(SUM(H147:AA147),0)</f>
        <v>516356</v>
      </c>
    </row>
    <row r="148" spans="1:28" ht="12.75" customHeight="1">
      <c r="A148" s="31">
        <v>3562</v>
      </c>
      <c r="B148" s="32" t="s">
        <v>84</v>
      </c>
      <c r="C148" s="32">
        <f t="shared" ca="1" si="167"/>
        <v>38864.720000000001</v>
      </c>
      <c r="D148" s="32">
        <f t="shared" ca="1" si="168"/>
        <v>0</v>
      </c>
      <c r="E148" s="32">
        <f t="shared" ca="1" si="169"/>
        <v>0</v>
      </c>
      <c r="F148" s="32">
        <f t="shared" ca="1" si="170"/>
        <v>0</v>
      </c>
      <c r="G148" s="33"/>
      <c r="H148" s="32">
        <f t="shared" ca="1" si="171"/>
        <v>38865</v>
      </c>
      <c r="I148" s="33"/>
      <c r="J148" s="32">
        <f t="shared" ca="1" si="172"/>
        <v>0</v>
      </c>
      <c r="K148" s="32">
        <f t="shared" ca="1" si="173"/>
        <v>0</v>
      </c>
      <c r="L148" s="32">
        <f t="shared" ca="1" si="174"/>
        <v>0</v>
      </c>
      <c r="M148" s="32">
        <f t="shared" ca="1" si="175"/>
        <v>0</v>
      </c>
      <c r="N148" s="32">
        <f t="shared" ca="1" si="176"/>
        <v>0</v>
      </c>
      <c r="O148" s="32">
        <f t="shared" ca="1" si="177"/>
        <v>0</v>
      </c>
      <c r="P148" s="32">
        <f t="shared" ca="1" si="178"/>
        <v>0</v>
      </c>
      <c r="Q148" s="32">
        <f t="shared" ca="1" si="179"/>
        <v>0</v>
      </c>
      <c r="R148" s="32">
        <f t="shared" ca="1" si="180"/>
        <v>0</v>
      </c>
      <c r="S148" s="32">
        <f t="shared" ca="1" si="181"/>
        <v>0</v>
      </c>
      <c r="T148" s="33"/>
      <c r="U148" s="32">
        <f t="shared" ca="1" si="182"/>
        <v>0</v>
      </c>
      <c r="V148" s="32">
        <f t="shared" ca="1" si="183"/>
        <v>0</v>
      </c>
      <c r="W148" s="32">
        <f t="shared" ca="1" si="184"/>
        <v>0</v>
      </c>
      <c r="X148" s="32">
        <f t="shared" ca="1" si="185"/>
        <v>0</v>
      </c>
      <c r="Y148" s="32">
        <f t="shared" ca="1" si="186"/>
        <v>0</v>
      </c>
      <c r="Z148" s="32">
        <f t="shared" ca="1" si="187"/>
        <v>0</v>
      </c>
      <c r="AA148" s="32">
        <f t="shared" ca="1" si="188"/>
        <v>0</v>
      </c>
      <c r="AB148" s="32">
        <f t="shared" ca="1" si="189"/>
        <v>38865</v>
      </c>
    </row>
    <row r="149" spans="1:28" ht="12.75" customHeight="1">
      <c r="A149" s="31">
        <v>3563</v>
      </c>
      <c r="B149" s="32" t="s">
        <v>85</v>
      </c>
      <c r="C149" s="32">
        <f t="shared" ca="1" si="167"/>
        <v>5431.53</v>
      </c>
      <c r="D149" s="32">
        <f t="shared" ca="1" si="168"/>
        <v>0</v>
      </c>
      <c r="E149" s="32">
        <f t="shared" ca="1" si="169"/>
        <v>0</v>
      </c>
      <c r="F149" s="32">
        <f t="shared" ca="1" si="170"/>
        <v>0</v>
      </c>
      <c r="G149" s="33"/>
      <c r="H149" s="32">
        <f t="shared" ca="1" si="171"/>
        <v>5432</v>
      </c>
      <c r="I149" s="33"/>
      <c r="J149" s="32">
        <f t="shared" ca="1" si="172"/>
        <v>0</v>
      </c>
      <c r="K149" s="32">
        <f t="shared" ca="1" si="173"/>
        <v>0</v>
      </c>
      <c r="L149" s="32">
        <f t="shared" ca="1" si="174"/>
        <v>0</v>
      </c>
      <c r="M149" s="32">
        <f t="shared" ca="1" si="175"/>
        <v>0</v>
      </c>
      <c r="N149" s="32">
        <f t="shared" ca="1" si="176"/>
        <v>0</v>
      </c>
      <c r="O149" s="32">
        <f t="shared" ca="1" si="177"/>
        <v>0</v>
      </c>
      <c r="P149" s="32">
        <f t="shared" ca="1" si="178"/>
        <v>0</v>
      </c>
      <c r="Q149" s="32">
        <f t="shared" ca="1" si="179"/>
        <v>0</v>
      </c>
      <c r="R149" s="32">
        <f t="shared" ca="1" si="180"/>
        <v>0</v>
      </c>
      <c r="S149" s="32">
        <f t="shared" ca="1" si="181"/>
        <v>0</v>
      </c>
      <c r="T149" s="33"/>
      <c r="U149" s="32">
        <f t="shared" ca="1" si="182"/>
        <v>0</v>
      </c>
      <c r="V149" s="32">
        <f t="shared" ca="1" si="183"/>
        <v>0</v>
      </c>
      <c r="W149" s="32">
        <f t="shared" ca="1" si="184"/>
        <v>0</v>
      </c>
      <c r="X149" s="32">
        <f t="shared" ca="1" si="185"/>
        <v>0</v>
      </c>
      <c r="Y149" s="32">
        <f t="shared" ca="1" si="186"/>
        <v>0</v>
      </c>
      <c r="Z149" s="32">
        <f t="shared" ca="1" si="187"/>
        <v>0</v>
      </c>
      <c r="AA149" s="32">
        <f t="shared" ca="1" si="188"/>
        <v>0</v>
      </c>
      <c r="AB149" s="32">
        <f t="shared" ca="1" si="189"/>
        <v>5432</v>
      </c>
    </row>
    <row r="150" spans="1:28" ht="12.75" customHeight="1">
      <c r="A150" s="31">
        <v>3564</v>
      </c>
      <c r="B150" s="32" t="s">
        <v>86</v>
      </c>
      <c r="C150" s="32">
        <f t="shared" ca="1" si="167"/>
        <v>13887.26</v>
      </c>
      <c r="D150" s="32">
        <f t="shared" ca="1" si="168"/>
        <v>0</v>
      </c>
      <c r="E150" s="32">
        <f t="shared" ca="1" si="169"/>
        <v>0</v>
      </c>
      <c r="F150" s="32">
        <f t="shared" ca="1" si="170"/>
        <v>0</v>
      </c>
      <c r="G150" s="33"/>
      <c r="H150" s="32">
        <f t="shared" ca="1" si="171"/>
        <v>13887</v>
      </c>
      <c r="I150" s="33"/>
      <c r="J150" s="32">
        <f t="shared" ca="1" si="172"/>
        <v>0</v>
      </c>
      <c r="K150" s="32">
        <f t="shared" ca="1" si="173"/>
        <v>0</v>
      </c>
      <c r="L150" s="32">
        <f t="shared" ca="1" si="174"/>
        <v>0</v>
      </c>
      <c r="M150" s="32">
        <f t="shared" ca="1" si="175"/>
        <v>0</v>
      </c>
      <c r="N150" s="32">
        <f t="shared" ca="1" si="176"/>
        <v>0</v>
      </c>
      <c r="O150" s="32">
        <f t="shared" ca="1" si="177"/>
        <v>0</v>
      </c>
      <c r="P150" s="32">
        <f t="shared" ca="1" si="178"/>
        <v>0</v>
      </c>
      <c r="Q150" s="32">
        <f t="shared" ca="1" si="179"/>
        <v>0</v>
      </c>
      <c r="R150" s="32">
        <f t="shared" ca="1" si="180"/>
        <v>0</v>
      </c>
      <c r="S150" s="32">
        <f t="shared" ca="1" si="181"/>
        <v>0</v>
      </c>
      <c r="T150" s="33"/>
      <c r="U150" s="32">
        <f t="shared" ca="1" si="182"/>
        <v>0</v>
      </c>
      <c r="V150" s="32">
        <f t="shared" ca="1" si="183"/>
        <v>0</v>
      </c>
      <c r="W150" s="32">
        <f t="shared" ca="1" si="184"/>
        <v>0</v>
      </c>
      <c r="X150" s="32">
        <f t="shared" ca="1" si="185"/>
        <v>0</v>
      </c>
      <c r="Y150" s="32">
        <f t="shared" ca="1" si="186"/>
        <v>0</v>
      </c>
      <c r="Z150" s="32">
        <f t="shared" ca="1" si="187"/>
        <v>0</v>
      </c>
      <c r="AA150" s="32">
        <f t="shared" ca="1" si="188"/>
        <v>0</v>
      </c>
      <c r="AB150" s="32">
        <f t="shared" ca="1" si="189"/>
        <v>13887</v>
      </c>
    </row>
    <row r="151" spans="1:28" ht="12.75" customHeight="1">
      <c r="A151" s="31">
        <v>3565</v>
      </c>
      <c r="B151" s="32" t="s">
        <v>87</v>
      </c>
      <c r="C151" s="32">
        <f t="shared" ca="1" si="167"/>
        <v>10116.58</v>
      </c>
      <c r="D151" s="32">
        <f t="shared" ca="1" si="168"/>
        <v>1253</v>
      </c>
      <c r="E151" s="32">
        <f t="shared" ca="1" si="169"/>
        <v>0</v>
      </c>
      <c r="F151" s="32">
        <f t="shared" ca="1" si="170"/>
        <v>0</v>
      </c>
      <c r="G151" s="33"/>
      <c r="H151" s="32">
        <f t="shared" ca="1" si="171"/>
        <v>11370</v>
      </c>
      <c r="I151" s="33"/>
      <c r="J151" s="32">
        <f t="shared" ca="1" si="172"/>
        <v>0</v>
      </c>
      <c r="K151" s="32">
        <f t="shared" ca="1" si="173"/>
        <v>0</v>
      </c>
      <c r="L151" s="32">
        <f t="shared" ca="1" si="174"/>
        <v>0</v>
      </c>
      <c r="M151" s="32">
        <f t="shared" ca="1" si="175"/>
        <v>0</v>
      </c>
      <c r="N151" s="32">
        <f t="shared" ca="1" si="176"/>
        <v>0</v>
      </c>
      <c r="O151" s="32">
        <f t="shared" ca="1" si="177"/>
        <v>0</v>
      </c>
      <c r="P151" s="32">
        <f t="shared" ca="1" si="178"/>
        <v>0</v>
      </c>
      <c r="Q151" s="32">
        <f t="shared" ca="1" si="179"/>
        <v>0</v>
      </c>
      <c r="R151" s="32">
        <f t="shared" ca="1" si="180"/>
        <v>0</v>
      </c>
      <c r="S151" s="32">
        <f t="shared" ca="1" si="181"/>
        <v>0</v>
      </c>
      <c r="T151" s="33"/>
      <c r="U151" s="32">
        <f t="shared" ca="1" si="182"/>
        <v>0</v>
      </c>
      <c r="V151" s="32">
        <f t="shared" ca="1" si="183"/>
        <v>0</v>
      </c>
      <c r="W151" s="32">
        <f t="shared" ca="1" si="184"/>
        <v>0</v>
      </c>
      <c r="X151" s="32">
        <f t="shared" ca="1" si="185"/>
        <v>0</v>
      </c>
      <c r="Y151" s="32">
        <f t="shared" ca="1" si="186"/>
        <v>0</v>
      </c>
      <c r="Z151" s="32">
        <f t="shared" ca="1" si="187"/>
        <v>0</v>
      </c>
      <c r="AA151" s="32">
        <f t="shared" ca="1" si="188"/>
        <v>0</v>
      </c>
      <c r="AB151" s="32">
        <f t="shared" ca="1" si="189"/>
        <v>11370</v>
      </c>
    </row>
    <row r="152" spans="1:28" ht="12.75" customHeight="1">
      <c r="A152" s="31">
        <v>3566</v>
      </c>
      <c r="B152" s="32" t="s">
        <v>88</v>
      </c>
      <c r="C152" s="32">
        <f t="shared" ca="1" si="167"/>
        <v>12481</v>
      </c>
      <c r="D152" s="32">
        <f t="shared" ca="1" si="168"/>
        <v>0</v>
      </c>
      <c r="E152" s="32">
        <f t="shared" ca="1" si="169"/>
        <v>0</v>
      </c>
      <c r="F152" s="32">
        <f t="shared" ca="1" si="170"/>
        <v>0</v>
      </c>
      <c r="G152" s="33"/>
      <c r="H152" s="32">
        <f t="shared" ca="1" si="171"/>
        <v>12481</v>
      </c>
      <c r="I152" s="33"/>
      <c r="J152" s="32">
        <f t="shared" ca="1" si="172"/>
        <v>0</v>
      </c>
      <c r="K152" s="32">
        <f t="shared" ca="1" si="173"/>
        <v>0</v>
      </c>
      <c r="L152" s="32">
        <f t="shared" ca="1" si="174"/>
        <v>0</v>
      </c>
      <c r="M152" s="32">
        <f t="shared" ca="1" si="175"/>
        <v>0</v>
      </c>
      <c r="N152" s="32">
        <f t="shared" ca="1" si="176"/>
        <v>0</v>
      </c>
      <c r="O152" s="32">
        <f t="shared" ca="1" si="177"/>
        <v>0</v>
      </c>
      <c r="P152" s="32">
        <f t="shared" ca="1" si="178"/>
        <v>0</v>
      </c>
      <c r="Q152" s="32">
        <f t="shared" ca="1" si="179"/>
        <v>0</v>
      </c>
      <c r="R152" s="32">
        <f t="shared" ca="1" si="180"/>
        <v>0</v>
      </c>
      <c r="S152" s="32">
        <f t="shared" ca="1" si="181"/>
        <v>0</v>
      </c>
      <c r="T152" s="33"/>
      <c r="U152" s="32">
        <f t="shared" ca="1" si="182"/>
        <v>0</v>
      </c>
      <c r="V152" s="32">
        <f t="shared" ca="1" si="183"/>
        <v>0</v>
      </c>
      <c r="W152" s="32">
        <f t="shared" ca="1" si="184"/>
        <v>0</v>
      </c>
      <c r="X152" s="32">
        <f t="shared" ca="1" si="185"/>
        <v>0</v>
      </c>
      <c r="Y152" s="32">
        <f t="shared" ca="1" si="186"/>
        <v>0</v>
      </c>
      <c r="Z152" s="32">
        <f t="shared" ca="1" si="187"/>
        <v>0</v>
      </c>
      <c r="AA152" s="32">
        <f t="shared" ca="1" si="188"/>
        <v>0</v>
      </c>
      <c r="AB152" s="32">
        <f t="shared" ca="1" si="189"/>
        <v>12481</v>
      </c>
    </row>
    <row r="153" spans="1:28" ht="12.75" customHeight="1">
      <c r="A153" s="31">
        <v>3569</v>
      </c>
      <c r="B153" s="34" t="s">
        <v>89</v>
      </c>
      <c r="C153" s="32">
        <f ca="1">ROUND(SUM(C147:C152),0)</f>
        <v>405580</v>
      </c>
      <c r="D153" s="32">
        <f ca="1">ROUND(SUM(D147:D152),0)</f>
        <v>192810</v>
      </c>
      <c r="E153" s="32">
        <f ca="1">ROUND(SUM(E147:E152),0)</f>
        <v>0</v>
      </c>
      <c r="F153" s="32">
        <f ca="1">ROUND(SUM(F147:F152),0)</f>
        <v>0</v>
      </c>
      <c r="G153" s="33"/>
      <c r="H153" s="32">
        <f ca="1">ROUND(SUM(C153:F153),0)</f>
        <v>598390</v>
      </c>
      <c r="I153" s="33"/>
      <c r="J153" s="32">
        <f t="shared" ref="J153:P153" ca="1" si="190">ROUND(SUM(J147:J152),0)</f>
        <v>0</v>
      </c>
      <c r="K153" s="32">
        <f t="shared" ca="1" si="190"/>
        <v>0</v>
      </c>
      <c r="L153" s="32">
        <f t="shared" ca="1" si="190"/>
        <v>0</v>
      </c>
      <c r="M153" s="32">
        <f t="shared" ca="1" si="190"/>
        <v>0</v>
      </c>
      <c r="N153" s="32">
        <f t="shared" ca="1" si="190"/>
        <v>0</v>
      </c>
      <c r="O153" s="32">
        <f t="shared" ca="1" si="190"/>
        <v>0</v>
      </c>
      <c r="P153" s="32">
        <f t="shared" ca="1" si="190"/>
        <v>0</v>
      </c>
      <c r="Q153" s="32">
        <f t="shared" ref="Q153:AA153" ca="1" si="191">ROUND(SUM(Q147:Q152),0)</f>
        <v>0</v>
      </c>
      <c r="R153" s="32">
        <f t="shared" ca="1" si="191"/>
        <v>0</v>
      </c>
      <c r="S153" s="32">
        <f ca="1">ROUND(SUM(S147:S152),0)</f>
        <v>0</v>
      </c>
      <c r="T153" s="33"/>
      <c r="U153" s="32">
        <f t="shared" ca="1" si="191"/>
        <v>0</v>
      </c>
      <c r="V153" s="32">
        <f t="shared" ca="1" si="191"/>
        <v>0</v>
      </c>
      <c r="W153" s="32">
        <f ca="1">ROUND(SUM(W147:W152),0)</f>
        <v>0</v>
      </c>
      <c r="X153" s="32">
        <f t="shared" ca="1" si="191"/>
        <v>0</v>
      </c>
      <c r="Y153" s="32">
        <f t="shared" ca="1" si="191"/>
        <v>0</v>
      </c>
      <c r="Z153" s="32">
        <f t="shared" ca="1" si="191"/>
        <v>0</v>
      </c>
      <c r="AA153" s="32">
        <f t="shared" ca="1" si="191"/>
        <v>0</v>
      </c>
      <c r="AB153" s="32">
        <f t="shared" ca="1" si="189"/>
        <v>598390</v>
      </c>
    </row>
    <row r="154" spans="1:28" ht="12.75" customHeight="1">
      <c r="A154" s="35"/>
      <c r="B154" s="120" t="s">
        <v>127</v>
      </c>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row>
    <row r="155" spans="1:28" ht="12.75" customHeight="1">
      <c r="A155" s="31">
        <v>3571</v>
      </c>
      <c r="B155" s="32" t="s">
        <v>91</v>
      </c>
      <c r="C155" s="32">
        <f t="shared" ref="C155:C160" ca="1" si="192">SUMIF(lines,$A155,day)</f>
        <v>0</v>
      </c>
      <c r="D155" s="32">
        <f t="shared" ref="D155:D160" ca="1" si="193">SUMIF(lines,$A155,special)</f>
        <v>0</v>
      </c>
      <c r="E155" s="32">
        <f t="shared" ref="E155:E160" ca="1" si="194">SUMIF(lines,$A155,occday)</f>
        <v>0</v>
      </c>
      <c r="F155" s="32">
        <f t="shared" ref="F155:F160" ca="1" si="195">SUMIF(lines,$A155,other)</f>
        <v>0</v>
      </c>
      <c r="G155" s="33"/>
      <c r="H155" s="32">
        <f t="shared" ref="H155:H161" ca="1" si="196">ROUND(SUM(C155:F155),0)</f>
        <v>0</v>
      </c>
      <c r="I155" s="33"/>
      <c r="J155" s="32">
        <f t="shared" ref="J155:J160" ca="1" si="197">SUMIF(lines,$A155,TitleI)</f>
        <v>0</v>
      </c>
      <c r="K155" s="32">
        <f t="shared" ref="K155:K160" ca="1" si="198">SUMIF(lines,$A155,IDEA)</f>
        <v>0</v>
      </c>
      <c r="L155" s="32">
        <f t="shared" ref="L155:L160" ca="1" si="199">SUMIF(lines,$A155,ESSERI)</f>
        <v>0</v>
      </c>
      <c r="M155" s="32">
        <f t="shared" ref="M155:M160" ca="1" si="200">SUMIF(lines,$A155,ESSERII)</f>
        <v>0</v>
      </c>
      <c r="N155" s="32">
        <f t="shared" ref="N155:N160" ca="1" si="201">SUMIF(lines,$A155,ESSERIII)</f>
        <v>0</v>
      </c>
      <c r="O155" s="32">
        <f t="shared" ref="O155:O160" ca="1" si="202">SUMIF(lines,$A155,ESSERG)</f>
        <v>0</v>
      </c>
      <c r="P155" s="32">
        <f t="shared" ref="P155:P160" ca="1" si="203">SUMIF(lines,$A155,GEER)</f>
        <v>0</v>
      </c>
      <c r="Q155" s="32">
        <f t="shared" ref="Q155:Q160" ca="1" si="204">SUMIF(lines,$A155,doefed)</f>
        <v>0</v>
      </c>
      <c r="R155" s="32">
        <f t="shared" ref="R155:R160" ca="1" si="205">SUMIF(lines,$A155,adultfed)</f>
        <v>0</v>
      </c>
      <c r="S155" s="32">
        <f t="shared" ref="S155:S160" ca="1" si="206">SUMIF(lines,$A155,otherfed)</f>
        <v>0</v>
      </c>
      <c r="T155" s="33"/>
      <c r="U155" s="32">
        <f t="shared" ref="U155:U160" ca="1" si="207">SUMIF(lines,$A155,doestate)</f>
        <v>0</v>
      </c>
      <c r="V155" s="32">
        <f t="shared" ref="V155:V160" ca="1" si="208">SUMIF(lines,$A155,adultstate)</f>
        <v>0</v>
      </c>
      <c r="W155" s="32">
        <f t="shared" ref="W155:W160" ca="1" si="209">SUMIF(lines,$A155,otherstate)</f>
        <v>0</v>
      </c>
      <c r="X155" s="32">
        <f t="shared" ref="X155:X160" ca="1" si="210">SUMIF(lines,$A155,circuitbreaker)</f>
        <v>0</v>
      </c>
      <c r="Y155" s="32">
        <f t="shared" ref="Y155:Y160" ca="1" si="211">SUMIF(lines,$A155,private)</f>
        <v>0</v>
      </c>
      <c r="Z155" s="32">
        <f t="shared" ref="Z155:Z160" ca="1" si="212">SUMIF(lines,$A155,schchoice)</f>
        <v>0</v>
      </c>
      <c r="AA155" s="32">
        <f t="shared" ref="AA155:AA160" ca="1" si="213">SUMIF(lines,$A155,otherreceipts)</f>
        <v>0</v>
      </c>
      <c r="AB155" s="32">
        <f t="shared" ref="AB155:AB161" ca="1" si="214">ROUND(SUM(H155:AA155),0)</f>
        <v>0</v>
      </c>
    </row>
    <row r="156" spans="1:28" ht="12.75" customHeight="1">
      <c r="A156" s="31">
        <v>3572</v>
      </c>
      <c r="B156" s="32" t="s">
        <v>84</v>
      </c>
      <c r="C156" s="32">
        <f t="shared" ca="1" si="192"/>
        <v>0</v>
      </c>
      <c r="D156" s="32">
        <f t="shared" ca="1" si="193"/>
        <v>0</v>
      </c>
      <c r="E156" s="32">
        <f t="shared" ca="1" si="194"/>
        <v>0</v>
      </c>
      <c r="F156" s="32">
        <f t="shared" ca="1" si="195"/>
        <v>0</v>
      </c>
      <c r="G156" s="33"/>
      <c r="H156" s="32">
        <f t="shared" ca="1" si="196"/>
        <v>0</v>
      </c>
      <c r="I156" s="33"/>
      <c r="J156" s="32">
        <f t="shared" ca="1" si="197"/>
        <v>0</v>
      </c>
      <c r="K156" s="32">
        <f t="shared" ca="1" si="198"/>
        <v>0</v>
      </c>
      <c r="L156" s="32">
        <f t="shared" ca="1" si="199"/>
        <v>0</v>
      </c>
      <c r="M156" s="32">
        <f t="shared" ca="1" si="200"/>
        <v>0</v>
      </c>
      <c r="N156" s="32">
        <f t="shared" ca="1" si="201"/>
        <v>0</v>
      </c>
      <c r="O156" s="32">
        <f t="shared" ca="1" si="202"/>
        <v>0</v>
      </c>
      <c r="P156" s="32">
        <f t="shared" ca="1" si="203"/>
        <v>0</v>
      </c>
      <c r="Q156" s="32">
        <f t="shared" ca="1" si="204"/>
        <v>0</v>
      </c>
      <c r="R156" s="32">
        <f t="shared" ca="1" si="205"/>
        <v>0</v>
      </c>
      <c r="S156" s="32">
        <f t="shared" ca="1" si="206"/>
        <v>0</v>
      </c>
      <c r="T156" s="33"/>
      <c r="U156" s="32">
        <f t="shared" ca="1" si="207"/>
        <v>0</v>
      </c>
      <c r="V156" s="32">
        <f t="shared" ca="1" si="208"/>
        <v>0</v>
      </c>
      <c r="W156" s="32">
        <f t="shared" ca="1" si="209"/>
        <v>0</v>
      </c>
      <c r="X156" s="32">
        <f t="shared" ca="1" si="210"/>
        <v>0</v>
      </c>
      <c r="Y156" s="32">
        <f t="shared" ca="1" si="211"/>
        <v>0</v>
      </c>
      <c r="Z156" s="32">
        <f t="shared" ca="1" si="212"/>
        <v>0</v>
      </c>
      <c r="AA156" s="32">
        <f t="shared" ca="1" si="213"/>
        <v>0</v>
      </c>
      <c r="AB156" s="32">
        <f t="shared" ca="1" si="214"/>
        <v>0</v>
      </c>
    </row>
    <row r="157" spans="1:28" ht="12.75" customHeight="1">
      <c r="A157" s="31">
        <v>3573</v>
      </c>
      <c r="B157" s="32" t="s">
        <v>85</v>
      </c>
      <c r="C157" s="32">
        <f t="shared" ca="1" si="192"/>
        <v>0</v>
      </c>
      <c r="D157" s="32">
        <f t="shared" ca="1" si="193"/>
        <v>0</v>
      </c>
      <c r="E157" s="32">
        <f t="shared" ca="1" si="194"/>
        <v>0</v>
      </c>
      <c r="F157" s="32">
        <f t="shared" ca="1" si="195"/>
        <v>0</v>
      </c>
      <c r="G157" s="33"/>
      <c r="H157" s="32">
        <f t="shared" ca="1" si="196"/>
        <v>0</v>
      </c>
      <c r="I157" s="33"/>
      <c r="J157" s="32">
        <f t="shared" ca="1" si="197"/>
        <v>0</v>
      </c>
      <c r="K157" s="32">
        <f t="shared" ca="1" si="198"/>
        <v>0</v>
      </c>
      <c r="L157" s="32">
        <f t="shared" ca="1" si="199"/>
        <v>0</v>
      </c>
      <c r="M157" s="32">
        <f t="shared" ca="1" si="200"/>
        <v>0</v>
      </c>
      <c r="N157" s="32">
        <f t="shared" ca="1" si="201"/>
        <v>0</v>
      </c>
      <c r="O157" s="32">
        <f t="shared" ca="1" si="202"/>
        <v>0</v>
      </c>
      <c r="P157" s="32">
        <f t="shared" ca="1" si="203"/>
        <v>0</v>
      </c>
      <c r="Q157" s="32">
        <f t="shared" ca="1" si="204"/>
        <v>0</v>
      </c>
      <c r="R157" s="32">
        <f t="shared" ca="1" si="205"/>
        <v>0</v>
      </c>
      <c r="S157" s="32">
        <f t="shared" ca="1" si="206"/>
        <v>0</v>
      </c>
      <c r="T157" s="33"/>
      <c r="U157" s="32">
        <f t="shared" ca="1" si="207"/>
        <v>0</v>
      </c>
      <c r="V157" s="32">
        <f t="shared" ca="1" si="208"/>
        <v>0</v>
      </c>
      <c r="W157" s="32">
        <f t="shared" ca="1" si="209"/>
        <v>0</v>
      </c>
      <c r="X157" s="32">
        <f t="shared" ca="1" si="210"/>
        <v>0</v>
      </c>
      <c r="Y157" s="32">
        <f t="shared" ca="1" si="211"/>
        <v>0</v>
      </c>
      <c r="Z157" s="32">
        <f t="shared" ca="1" si="212"/>
        <v>0</v>
      </c>
      <c r="AA157" s="32">
        <f t="shared" ca="1" si="213"/>
        <v>0</v>
      </c>
      <c r="AB157" s="32">
        <f t="shared" ca="1" si="214"/>
        <v>0</v>
      </c>
    </row>
    <row r="158" spans="1:28" ht="12.75" customHeight="1">
      <c r="A158" s="31">
        <v>3574</v>
      </c>
      <c r="B158" s="32" t="s">
        <v>86</v>
      </c>
      <c r="C158" s="32">
        <f t="shared" ca="1" si="192"/>
        <v>0</v>
      </c>
      <c r="D158" s="32">
        <f t="shared" ca="1" si="193"/>
        <v>0</v>
      </c>
      <c r="E158" s="32">
        <f t="shared" ca="1" si="194"/>
        <v>0</v>
      </c>
      <c r="F158" s="32">
        <f t="shared" ca="1" si="195"/>
        <v>0</v>
      </c>
      <c r="G158" s="33"/>
      <c r="H158" s="32">
        <f t="shared" ca="1" si="196"/>
        <v>0</v>
      </c>
      <c r="I158" s="33"/>
      <c r="J158" s="32">
        <f t="shared" ca="1" si="197"/>
        <v>0</v>
      </c>
      <c r="K158" s="32">
        <f t="shared" ca="1" si="198"/>
        <v>0</v>
      </c>
      <c r="L158" s="32">
        <f t="shared" ca="1" si="199"/>
        <v>0</v>
      </c>
      <c r="M158" s="32">
        <f t="shared" ca="1" si="200"/>
        <v>0</v>
      </c>
      <c r="N158" s="32">
        <f t="shared" ca="1" si="201"/>
        <v>0</v>
      </c>
      <c r="O158" s="32">
        <f t="shared" ca="1" si="202"/>
        <v>0</v>
      </c>
      <c r="P158" s="32">
        <f t="shared" ca="1" si="203"/>
        <v>0</v>
      </c>
      <c r="Q158" s="32">
        <f t="shared" ca="1" si="204"/>
        <v>0</v>
      </c>
      <c r="R158" s="32">
        <f t="shared" ca="1" si="205"/>
        <v>0</v>
      </c>
      <c r="S158" s="32">
        <f t="shared" ca="1" si="206"/>
        <v>0</v>
      </c>
      <c r="T158" s="33"/>
      <c r="U158" s="32">
        <f t="shared" ca="1" si="207"/>
        <v>0</v>
      </c>
      <c r="V158" s="32">
        <f t="shared" ca="1" si="208"/>
        <v>0</v>
      </c>
      <c r="W158" s="32">
        <f t="shared" ca="1" si="209"/>
        <v>0</v>
      </c>
      <c r="X158" s="32">
        <f t="shared" ca="1" si="210"/>
        <v>0</v>
      </c>
      <c r="Y158" s="32">
        <f t="shared" ca="1" si="211"/>
        <v>0</v>
      </c>
      <c r="Z158" s="32">
        <f t="shared" ca="1" si="212"/>
        <v>0</v>
      </c>
      <c r="AA158" s="32">
        <f t="shared" ca="1" si="213"/>
        <v>0</v>
      </c>
      <c r="AB158" s="32">
        <f t="shared" ca="1" si="214"/>
        <v>0</v>
      </c>
    </row>
    <row r="159" spans="1:28" ht="12.75" customHeight="1">
      <c r="A159" s="31">
        <v>3575</v>
      </c>
      <c r="B159" s="32" t="s">
        <v>87</v>
      </c>
      <c r="C159" s="32">
        <f t="shared" ca="1" si="192"/>
        <v>0</v>
      </c>
      <c r="D159" s="32">
        <f t="shared" ca="1" si="193"/>
        <v>0</v>
      </c>
      <c r="E159" s="32">
        <f t="shared" ca="1" si="194"/>
        <v>0</v>
      </c>
      <c r="F159" s="32">
        <f t="shared" ca="1" si="195"/>
        <v>0</v>
      </c>
      <c r="G159" s="33"/>
      <c r="H159" s="32">
        <f t="shared" ca="1" si="196"/>
        <v>0</v>
      </c>
      <c r="I159" s="33"/>
      <c r="J159" s="32">
        <f t="shared" ca="1" si="197"/>
        <v>0</v>
      </c>
      <c r="K159" s="32">
        <f t="shared" ca="1" si="198"/>
        <v>0</v>
      </c>
      <c r="L159" s="32">
        <f t="shared" ca="1" si="199"/>
        <v>0</v>
      </c>
      <c r="M159" s="32">
        <f t="shared" ca="1" si="200"/>
        <v>0</v>
      </c>
      <c r="N159" s="32">
        <f t="shared" ca="1" si="201"/>
        <v>0</v>
      </c>
      <c r="O159" s="32">
        <f t="shared" ca="1" si="202"/>
        <v>0</v>
      </c>
      <c r="P159" s="32">
        <f t="shared" ca="1" si="203"/>
        <v>0</v>
      </c>
      <c r="Q159" s="32">
        <f t="shared" ca="1" si="204"/>
        <v>0</v>
      </c>
      <c r="R159" s="32">
        <f t="shared" ca="1" si="205"/>
        <v>0</v>
      </c>
      <c r="S159" s="32">
        <f t="shared" ca="1" si="206"/>
        <v>0</v>
      </c>
      <c r="T159" s="33"/>
      <c r="U159" s="32">
        <f t="shared" ca="1" si="207"/>
        <v>0</v>
      </c>
      <c r="V159" s="32">
        <f t="shared" ca="1" si="208"/>
        <v>0</v>
      </c>
      <c r="W159" s="32">
        <f t="shared" ca="1" si="209"/>
        <v>0</v>
      </c>
      <c r="X159" s="32">
        <f t="shared" ca="1" si="210"/>
        <v>0</v>
      </c>
      <c r="Y159" s="32">
        <f t="shared" ca="1" si="211"/>
        <v>0</v>
      </c>
      <c r="Z159" s="32">
        <f t="shared" ca="1" si="212"/>
        <v>0</v>
      </c>
      <c r="AA159" s="32">
        <f t="shared" ca="1" si="213"/>
        <v>0</v>
      </c>
      <c r="AB159" s="32">
        <f t="shared" ca="1" si="214"/>
        <v>0</v>
      </c>
    </row>
    <row r="160" spans="1:28" ht="12.75" customHeight="1">
      <c r="A160" s="31">
        <v>3576</v>
      </c>
      <c r="B160" s="32" t="s">
        <v>88</v>
      </c>
      <c r="C160" s="32">
        <f t="shared" ca="1" si="192"/>
        <v>0</v>
      </c>
      <c r="D160" s="32">
        <f t="shared" ca="1" si="193"/>
        <v>0</v>
      </c>
      <c r="E160" s="32">
        <f t="shared" ca="1" si="194"/>
        <v>0</v>
      </c>
      <c r="F160" s="32">
        <f t="shared" ca="1" si="195"/>
        <v>0</v>
      </c>
      <c r="G160" s="33"/>
      <c r="H160" s="32">
        <f t="shared" ca="1" si="196"/>
        <v>0</v>
      </c>
      <c r="I160" s="33"/>
      <c r="J160" s="32">
        <f t="shared" ca="1" si="197"/>
        <v>0</v>
      </c>
      <c r="K160" s="32">
        <f t="shared" ca="1" si="198"/>
        <v>0</v>
      </c>
      <c r="L160" s="32">
        <f t="shared" ca="1" si="199"/>
        <v>0</v>
      </c>
      <c r="M160" s="32">
        <f t="shared" ca="1" si="200"/>
        <v>0</v>
      </c>
      <c r="N160" s="32">
        <f t="shared" ca="1" si="201"/>
        <v>0</v>
      </c>
      <c r="O160" s="32">
        <f t="shared" ca="1" si="202"/>
        <v>0</v>
      </c>
      <c r="P160" s="32">
        <f t="shared" ca="1" si="203"/>
        <v>0</v>
      </c>
      <c r="Q160" s="32">
        <f t="shared" ca="1" si="204"/>
        <v>0</v>
      </c>
      <c r="R160" s="32">
        <f t="shared" ca="1" si="205"/>
        <v>0</v>
      </c>
      <c r="S160" s="32">
        <f t="shared" ca="1" si="206"/>
        <v>0</v>
      </c>
      <c r="T160" s="33"/>
      <c r="U160" s="32">
        <f t="shared" ca="1" si="207"/>
        <v>0</v>
      </c>
      <c r="V160" s="32">
        <f t="shared" ca="1" si="208"/>
        <v>0</v>
      </c>
      <c r="W160" s="32">
        <f t="shared" ca="1" si="209"/>
        <v>0</v>
      </c>
      <c r="X160" s="32">
        <f t="shared" ca="1" si="210"/>
        <v>0</v>
      </c>
      <c r="Y160" s="32">
        <f t="shared" ca="1" si="211"/>
        <v>0</v>
      </c>
      <c r="Z160" s="32">
        <f t="shared" ca="1" si="212"/>
        <v>0</v>
      </c>
      <c r="AA160" s="32">
        <f t="shared" ca="1" si="213"/>
        <v>0</v>
      </c>
      <c r="AB160" s="32">
        <f t="shared" ca="1" si="214"/>
        <v>0</v>
      </c>
    </row>
    <row r="161" spans="1:28" ht="12.75" customHeight="1">
      <c r="A161" s="31">
        <v>3579</v>
      </c>
      <c r="B161" s="34" t="s">
        <v>89</v>
      </c>
      <c r="C161" s="32">
        <f ca="1">ROUND(SUM(C155:C160),0)</f>
        <v>0</v>
      </c>
      <c r="D161" s="32">
        <f ca="1">ROUND(SUM(D155:D160),0)</f>
        <v>0</v>
      </c>
      <c r="E161" s="32">
        <f ca="1">ROUND(SUM(E155:E160),0)</f>
        <v>0</v>
      </c>
      <c r="F161" s="32">
        <f ca="1">ROUND(SUM(F155:F160),0)</f>
        <v>0</v>
      </c>
      <c r="G161" s="33"/>
      <c r="H161" s="32">
        <f t="shared" ca="1" si="196"/>
        <v>0</v>
      </c>
      <c r="I161" s="33"/>
      <c r="J161" s="32">
        <f t="shared" ref="J161:P161" ca="1" si="215">ROUND(SUM(J155:J160),0)</f>
        <v>0</v>
      </c>
      <c r="K161" s="32">
        <f t="shared" ca="1" si="215"/>
        <v>0</v>
      </c>
      <c r="L161" s="32">
        <f t="shared" ca="1" si="215"/>
        <v>0</v>
      </c>
      <c r="M161" s="32">
        <f t="shared" ca="1" si="215"/>
        <v>0</v>
      </c>
      <c r="N161" s="32">
        <f t="shared" ca="1" si="215"/>
        <v>0</v>
      </c>
      <c r="O161" s="32">
        <f t="shared" ca="1" si="215"/>
        <v>0</v>
      </c>
      <c r="P161" s="32">
        <f t="shared" ca="1" si="215"/>
        <v>0</v>
      </c>
      <c r="Q161" s="32">
        <f t="shared" ref="Q161:Z161" ca="1" si="216">ROUND(SUM(Q155:Q160),0)</f>
        <v>0</v>
      </c>
      <c r="R161" s="32">
        <f t="shared" ca="1" si="216"/>
        <v>0</v>
      </c>
      <c r="S161" s="32">
        <f ca="1">ROUND(SUM(S155:S160),0)</f>
        <v>0</v>
      </c>
      <c r="T161" s="33"/>
      <c r="U161" s="32">
        <f t="shared" ca="1" si="216"/>
        <v>0</v>
      </c>
      <c r="V161" s="32">
        <f t="shared" ca="1" si="216"/>
        <v>0</v>
      </c>
      <c r="W161" s="32">
        <f ca="1">ROUND(SUM(W155:W160),0)</f>
        <v>0</v>
      </c>
      <c r="X161" s="32">
        <f t="shared" ca="1" si="216"/>
        <v>0</v>
      </c>
      <c r="Y161" s="32">
        <f t="shared" ca="1" si="216"/>
        <v>0</v>
      </c>
      <c r="Z161" s="32">
        <f t="shared" ca="1" si="216"/>
        <v>0</v>
      </c>
      <c r="AA161" s="32">
        <f ca="1">ROUND(SUM(AA155:AA160),0)</f>
        <v>0</v>
      </c>
      <c r="AB161" s="32">
        <f t="shared" ca="1" si="214"/>
        <v>0</v>
      </c>
    </row>
    <row r="162" spans="1:28" ht="12.75" customHeight="1">
      <c r="A162" s="35"/>
      <c r="B162" s="120" t="s">
        <v>128</v>
      </c>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row>
    <row r="163" spans="1:28" ht="12.75" customHeight="1">
      <c r="A163" s="31">
        <v>3581</v>
      </c>
      <c r="B163" s="32" t="s">
        <v>91</v>
      </c>
      <c r="C163" s="32">
        <f t="shared" ref="C163:C168" ca="1" si="217">SUMIF(lines,$A163,day)</f>
        <v>184049</v>
      </c>
      <c r="D163" s="32">
        <f t="shared" ref="D163:D168" ca="1" si="218">SUMIF(lines,$A163,special)</f>
        <v>164611</v>
      </c>
      <c r="E163" s="32">
        <f t="shared" ref="E163:E168" ca="1" si="219">SUMIF(lines,$A163,occday)</f>
        <v>0</v>
      </c>
      <c r="F163" s="32">
        <f t="shared" ref="F163:F168" ca="1" si="220">SUMIF(lines,$A163,other)</f>
        <v>0</v>
      </c>
      <c r="G163" s="33"/>
      <c r="H163" s="32">
        <f t="shared" ref="H163:H169" ca="1" si="221">ROUND(SUM(C163:F163),0)</f>
        <v>348660</v>
      </c>
      <c r="I163" s="33"/>
      <c r="J163" s="32">
        <f t="shared" ref="J163:J168" ca="1" si="222">SUMIF(lines,$A163,TitleI)</f>
        <v>0</v>
      </c>
      <c r="K163" s="32">
        <f t="shared" ref="K163:K168" ca="1" si="223">SUMIF(lines,$A163,IDEA)</f>
        <v>0</v>
      </c>
      <c r="L163" s="32">
        <f t="shared" ref="L163:L168" ca="1" si="224">SUMIF(lines,$A163,ESSERI)</f>
        <v>0</v>
      </c>
      <c r="M163" s="32">
        <f t="shared" ref="M163:M168" ca="1" si="225">SUMIF(lines,$A163,ESSERII)</f>
        <v>0</v>
      </c>
      <c r="N163" s="32">
        <f t="shared" ref="N163:N168" ca="1" si="226">SUMIF(lines,$A163,ESSERIII)</f>
        <v>0</v>
      </c>
      <c r="O163" s="32">
        <f t="shared" ref="O163:O168" ca="1" si="227">SUMIF(lines,$A163,ESSERG)</f>
        <v>0</v>
      </c>
      <c r="P163" s="32">
        <f t="shared" ref="P163:P168" ca="1" si="228">SUMIF(lines,$A163,GEER)</f>
        <v>0</v>
      </c>
      <c r="Q163" s="32">
        <f t="shared" ref="Q163:Q168" ca="1" si="229">SUMIF(lines,$A163,doefed)</f>
        <v>0</v>
      </c>
      <c r="R163" s="32">
        <f t="shared" ref="R163:R168" ca="1" si="230">SUMIF(lines,$A163,adultfed)</f>
        <v>0</v>
      </c>
      <c r="S163" s="32">
        <f t="shared" ref="S163:S168" ca="1" si="231">SUMIF(lines,$A163,otherfed)</f>
        <v>0</v>
      </c>
      <c r="T163" s="33"/>
      <c r="U163" s="32">
        <f t="shared" ref="U163:U168" ca="1" si="232">SUMIF(lines,$A163,doestate)</f>
        <v>0</v>
      </c>
      <c r="V163" s="32">
        <f t="shared" ref="V163:V168" ca="1" si="233">SUMIF(lines,$A163,adultstate)</f>
        <v>0</v>
      </c>
      <c r="W163" s="32">
        <f t="shared" ref="W163:W168" ca="1" si="234">SUMIF(lines,$A163,otherstate)</f>
        <v>0</v>
      </c>
      <c r="X163" s="32">
        <f t="shared" ref="X163:X168" ca="1" si="235">SUMIF(lines,$A163,circuitbreaker)</f>
        <v>0</v>
      </c>
      <c r="Y163" s="32">
        <f t="shared" ref="Y163:Y168" ca="1" si="236">SUMIF(lines,$A163,private)</f>
        <v>0</v>
      </c>
      <c r="Z163" s="32">
        <f t="shared" ref="Z163:Z168" ca="1" si="237">SUMIF(lines,$A163,schchoice)</f>
        <v>0</v>
      </c>
      <c r="AA163" s="32">
        <f t="shared" ref="AA163:AA168" ca="1" si="238">SUMIF(lines,$A163,otherreceipts)</f>
        <v>0</v>
      </c>
      <c r="AB163" s="32">
        <f t="shared" ref="AB163:AB169" ca="1" si="239">ROUND(SUM(H163:AA163),0)</f>
        <v>348660</v>
      </c>
    </row>
    <row r="164" spans="1:28" ht="12.75" customHeight="1">
      <c r="A164" s="31">
        <v>3582</v>
      </c>
      <c r="B164" s="32" t="s">
        <v>84</v>
      </c>
      <c r="C164" s="32">
        <f t="shared" ca="1" si="217"/>
        <v>0</v>
      </c>
      <c r="D164" s="32">
        <f t="shared" ca="1" si="218"/>
        <v>0</v>
      </c>
      <c r="E164" s="32">
        <f t="shared" ca="1" si="219"/>
        <v>0</v>
      </c>
      <c r="F164" s="32">
        <f t="shared" ca="1" si="220"/>
        <v>0</v>
      </c>
      <c r="G164" s="33"/>
      <c r="H164" s="32">
        <f t="shared" ca="1" si="221"/>
        <v>0</v>
      </c>
      <c r="I164" s="33"/>
      <c r="J164" s="32">
        <f t="shared" ca="1" si="222"/>
        <v>0</v>
      </c>
      <c r="K164" s="32">
        <f t="shared" ca="1" si="223"/>
        <v>0</v>
      </c>
      <c r="L164" s="32">
        <f t="shared" ca="1" si="224"/>
        <v>0</v>
      </c>
      <c r="M164" s="32">
        <f t="shared" ca="1" si="225"/>
        <v>0</v>
      </c>
      <c r="N164" s="32">
        <f t="shared" ca="1" si="226"/>
        <v>0</v>
      </c>
      <c r="O164" s="32">
        <f t="shared" ca="1" si="227"/>
        <v>0</v>
      </c>
      <c r="P164" s="32">
        <f t="shared" ca="1" si="228"/>
        <v>0</v>
      </c>
      <c r="Q164" s="32">
        <f t="shared" ca="1" si="229"/>
        <v>0</v>
      </c>
      <c r="R164" s="32">
        <f t="shared" ca="1" si="230"/>
        <v>0</v>
      </c>
      <c r="S164" s="32">
        <f t="shared" ca="1" si="231"/>
        <v>0</v>
      </c>
      <c r="T164" s="33"/>
      <c r="U164" s="32">
        <f t="shared" ca="1" si="232"/>
        <v>0</v>
      </c>
      <c r="V164" s="32">
        <f t="shared" ca="1" si="233"/>
        <v>0</v>
      </c>
      <c r="W164" s="32">
        <f t="shared" ca="1" si="234"/>
        <v>0</v>
      </c>
      <c r="X164" s="32">
        <f t="shared" ca="1" si="235"/>
        <v>0</v>
      </c>
      <c r="Y164" s="32">
        <f t="shared" ca="1" si="236"/>
        <v>0</v>
      </c>
      <c r="Z164" s="32">
        <f t="shared" ca="1" si="237"/>
        <v>0</v>
      </c>
      <c r="AA164" s="32">
        <f t="shared" ca="1" si="238"/>
        <v>0</v>
      </c>
      <c r="AB164" s="32">
        <f t="shared" ca="1" si="239"/>
        <v>0</v>
      </c>
    </row>
    <row r="165" spans="1:28" ht="12.75" customHeight="1">
      <c r="A165" s="31">
        <v>3583</v>
      </c>
      <c r="B165" s="32" t="s">
        <v>85</v>
      </c>
      <c r="C165" s="32">
        <f t="shared" ca="1" si="217"/>
        <v>0</v>
      </c>
      <c r="D165" s="32">
        <f t="shared" ca="1" si="218"/>
        <v>0</v>
      </c>
      <c r="E165" s="32">
        <f t="shared" ca="1" si="219"/>
        <v>0</v>
      </c>
      <c r="F165" s="32">
        <f t="shared" ca="1" si="220"/>
        <v>0</v>
      </c>
      <c r="G165" s="33"/>
      <c r="H165" s="32">
        <f t="shared" ca="1" si="221"/>
        <v>0</v>
      </c>
      <c r="I165" s="33"/>
      <c r="J165" s="32">
        <f t="shared" ca="1" si="222"/>
        <v>0</v>
      </c>
      <c r="K165" s="32">
        <f t="shared" ca="1" si="223"/>
        <v>0</v>
      </c>
      <c r="L165" s="32">
        <f t="shared" ca="1" si="224"/>
        <v>0</v>
      </c>
      <c r="M165" s="32">
        <f t="shared" ca="1" si="225"/>
        <v>0</v>
      </c>
      <c r="N165" s="32">
        <f t="shared" ca="1" si="226"/>
        <v>0</v>
      </c>
      <c r="O165" s="32">
        <f t="shared" ca="1" si="227"/>
        <v>0</v>
      </c>
      <c r="P165" s="32">
        <f t="shared" ca="1" si="228"/>
        <v>0</v>
      </c>
      <c r="Q165" s="32">
        <f t="shared" ca="1" si="229"/>
        <v>0</v>
      </c>
      <c r="R165" s="32">
        <f t="shared" ca="1" si="230"/>
        <v>0</v>
      </c>
      <c r="S165" s="32">
        <f t="shared" ca="1" si="231"/>
        <v>0</v>
      </c>
      <c r="T165" s="33"/>
      <c r="U165" s="32">
        <f t="shared" ca="1" si="232"/>
        <v>0</v>
      </c>
      <c r="V165" s="32">
        <f t="shared" ca="1" si="233"/>
        <v>0</v>
      </c>
      <c r="W165" s="32">
        <f t="shared" ca="1" si="234"/>
        <v>0</v>
      </c>
      <c r="X165" s="32">
        <f t="shared" ca="1" si="235"/>
        <v>0</v>
      </c>
      <c r="Y165" s="32">
        <f t="shared" ca="1" si="236"/>
        <v>0</v>
      </c>
      <c r="Z165" s="32">
        <f t="shared" ca="1" si="237"/>
        <v>0</v>
      </c>
      <c r="AA165" s="32">
        <f t="shared" ca="1" si="238"/>
        <v>0</v>
      </c>
      <c r="AB165" s="32">
        <f t="shared" ca="1" si="239"/>
        <v>0</v>
      </c>
    </row>
    <row r="166" spans="1:28" ht="12.75" customHeight="1">
      <c r="A166" s="31">
        <v>3584</v>
      </c>
      <c r="B166" s="32" t="s">
        <v>86</v>
      </c>
      <c r="C166" s="32">
        <f t="shared" ca="1" si="217"/>
        <v>0</v>
      </c>
      <c r="D166" s="32">
        <f t="shared" ca="1" si="218"/>
        <v>0</v>
      </c>
      <c r="E166" s="32">
        <f t="shared" ca="1" si="219"/>
        <v>0</v>
      </c>
      <c r="F166" s="32">
        <f t="shared" ca="1" si="220"/>
        <v>0</v>
      </c>
      <c r="G166" s="33"/>
      <c r="H166" s="32">
        <f t="shared" ca="1" si="221"/>
        <v>0</v>
      </c>
      <c r="I166" s="33"/>
      <c r="J166" s="32">
        <f t="shared" ca="1" si="222"/>
        <v>0</v>
      </c>
      <c r="K166" s="32">
        <f t="shared" ca="1" si="223"/>
        <v>0</v>
      </c>
      <c r="L166" s="32">
        <f t="shared" ca="1" si="224"/>
        <v>0</v>
      </c>
      <c r="M166" s="32">
        <f t="shared" ca="1" si="225"/>
        <v>0</v>
      </c>
      <c r="N166" s="32">
        <f t="shared" ca="1" si="226"/>
        <v>0</v>
      </c>
      <c r="O166" s="32">
        <f t="shared" ca="1" si="227"/>
        <v>0</v>
      </c>
      <c r="P166" s="32">
        <f t="shared" ca="1" si="228"/>
        <v>0</v>
      </c>
      <c r="Q166" s="32">
        <f t="shared" ca="1" si="229"/>
        <v>0</v>
      </c>
      <c r="R166" s="32">
        <f t="shared" ca="1" si="230"/>
        <v>0</v>
      </c>
      <c r="S166" s="32">
        <f t="shared" ca="1" si="231"/>
        <v>0</v>
      </c>
      <c r="T166" s="33"/>
      <c r="U166" s="32">
        <f t="shared" ca="1" si="232"/>
        <v>0</v>
      </c>
      <c r="V166" s="32">
        <f t="shared" ca="1" si="233"/>
        <v>0</v>
      </c>
      <c r="W166" s="32">
        <f t="shared" ca="1" si="234"/>
        <v>0</v>
      </c>
      <c r="X166" s="32">
        <f t="shared" ca="1" si="235"/>
        <v>0</v>
      </c>
      <c r="Y166" s="32">
        <f t="shared" ca="1" si="236"/>
        <v>0</v>
      </c>
      <c r="Z166" s="32">
        <f t="shared" ca="1" si="237"/>
        <v>0</v>
      </c>
      <c r="AA166" s="32">
        <f t="shared" ca="1" si="238"/>
        <v>0</v>
      </c>
      <c r="AB166" s="32">
        <f t="shared" ca="1" si="239"/>
        <v>0</v>
      </c>
    </row>
    <row r="167" spans="1:28" ht="12.75" customHeight="1">
      <c r="A167" s="31">
        <v>3585</v>
      </c>
      <c r="B167" s="32" t="s">
        <v>87</v>
      </c>
      <c r="C167" s="32">
        <f t="shared" ca="1" si="217"/>
        <v>6663</v>
      </c>
      <c r="D167" s="32">
        <f t="shared" ca="1" si="218"/>
        <v>0</v>
      </c>
      <c r="E167" s="32">
        <f t="shared" ca="1" si="219"/>
        <v>0</v>
      </c>
      <c r="F167" s="32">
        <f t="shared" ca="1" si="220"/>
        <v>0</v>
      </c>
      <c r="G167" s="33"/>
      <c r="H167" s="32">
        <f t="shared" ca="1" si="221"/>
        <v>6663</v>
      </c>
      <c r="I167" s="33"/>
      <c r="J167" s="32">
        <f t="shared" ca="1" si="222"/>
        <v>0</v>
      </c>
      <c r="K167" s="32">
        <f t="shared" ca="1" si="223"/>
        <v>0</v>
      </c>
      <c r="L167" s="32">
        <f t="shared" ca="1" si="224"/>
        <v>0</v>
      </c>
      <c r="M167" s="32">
        <f t="shared" ca="1" si="225"/>
        <v>0</v>
      </c>
      <c r="N167" s="32">
        <f t="shared" ca="1" si="226"/>
        <v>0</v>
      </c>
      <c r="O167" s="32">
        <f t="shared" ca="1" si="227"/>
        <v>0</v>
      </c>
      <c r="P167" s="32">
        <f t="shared" ca="1" si="228"/>
        <v>0</v>
      </c>
      <c r="Q167" s="32">
        <f t="shared" ca="1" si="229"/>
        <v>0</v>
      </c>
      <c r="R167" s="32">
        <f t="shared" ca="1" si="230"/>
        <v>0</v>
      </c>
      <c r="S167" s="32">
        <f t="shared" ca="1" si="231"/>
        <v>0</v>
      </c>
      <c r="T167" s="33"/>
      <c r="U167" s="32">
        <f t="shared" ca="1" si="232"/>
        <v>0</v>
      </c>
      <c r="V167" s="32">
        <f t="shared" ca="1" si="233"/>
        <v>0</v>
      </c>
      <c r="W167" s="32">
        <f t="shared" ca="1" si="234"/>
        <v>0</v>
      </c>
      <c r="X167" s="32">
        <f t="shared" ca="1" si="235"/>
        <v>0</v>
      </c>
      <c r="Y167" s="32">
        <f t="shared" ca="1" si="236"/>
        <v>0</v>
      </c>
      <c r="Z167" s="32">
        <f t="shared" ca="1" si="237"/>
        <v>0</v>
      </c>
      <c r="AA167" s="32">
        <f t="shared" ca="1" si="238"/>
        <v>0</v>
      </c>
      <c r="AB167" s="32">
        <f t="shared" ca="1" si="239"/>
        <v>6663</v>
      </c>
    </row>
    <row r="168" spans="1:28" ht="12.75" customHeight="1">
      <c r="A168" s="31">
        <v>3586</v>
      </c>
      <c r="B168" s="32" t="s">
        <v>88</v>
      </c>
      <c r="C168" s="32">
        <f t="shared" ca="1" si="217"/>
        <v>0</v>
      </c>
      <c r="D168" s="32">
        <f t="shared" ca="1" si="218"/>
        <v>0</v>
      </c>
      <c r="E168" s="32">
        <f t="shared" ca="1" si="219"/>
        <v>0</v>
      </c>
      <c r="F168" s="32">
        <f t="shared" ca="1" si="220"/>
        <v>0</v>
      </c>
      <c r="G168" s="33"/>
      <c r="H168" s="32">
        <f t="shared" ca="1" si="221"/>
        <v>0</v>
      </c>
      <c r="I168" s="33"/>
      <c r="J168" s="32">
        <f t="shared" ca="1" si="222"/>
        <v>0</v>
      </c>
      <c r="K168" s="32">
        <f t="shared" ca="1" si="223"/>
        <v>0</v>
      </c>
      <c r="L168" s="32">
        <f t="shared" ca="1" si="224"/>
        <v>0</v>
      </c>
      <c r="M168" s="32">
        <f t="shared" ca="1" si="225"/>
        <v>0</v>
      </c>
      <c r="N168" s="32">
        <f t="shared" ca="1" si="226"/>
        <v>0</v>
      </c>
      <c r="O168" s="32">
        <f t="shared" ca="1" si="227"/>
        <v>0</v>
      </c>
      <c r="P168" s="32">
        <f t="shared" ca="1" si="228"/>
        <v>0</v>
      </c>
      <c r="Q168" s="32">
        <f t="shared" ca="1" si="229"/>
        <v>0</v>
      </c>
      <c r="R168" s="32">
        <f t="shared" ca="1" si="230"/>
        <v>0</v>
      </c>
      <c r="S168" s="32">
        <f t="shared" ca="1" si="231"/>
        <v>0</v>
      </c>
      <c r="T168" s="33"/>
      <c r="U168" s="32">
        <f t="shared" ca="1" si="232"/>
        <v>0</v>
      </c>
      <c r="V168" s="32">
        <f t="shared" ca="1" si="233"/>
        <v>0</v>
      </c>
      <c r="W168" s="32">
        <f t="shared" ca="1" si="234"/>
        <v>0</v>
      </c>
      <c r="X168" s="32">
        <f t="shared" ca="1" si="235"/>
        <v>0</v>
      </c>
      <c r="Y168" s="32">
        <f t="shared" ca="1" si="236"/>
        <v>0</v>
      </c>
      <c r="Z168" s="32">
        <f t="shared" ca="1" si="237"/>
        <v>0</v>
      </c>
      <c r="AA168" s="32">
        <f t="shared" ca="1" si="238"/>
        <v>0</v>
      </c>
      <c r="AB168" s="32">
        <f t="shared" ca="1" si="239"/>
        <v>0</v>
      </c>
    </row>
    <row r="169" spans="1:28" ht="12.75" customHeight="1" thickBot="1">
      <c r="A169" s="37">
        <v>3589</v>
      </c>
      <c r="B169" s="38" t="s">
        <v>89</v>
      </c>
      <c r="C169" s="39">
        <f ca="1">ROUND(SUM(C163:C168),0)</f>
        <v>190712</v>
      </c>
      <c r="D169" s="39">
        <f ca="1">ROUND(SUM(D163:D168),0)</f>
        <v>164611</v>
      </c>
      <c r="E169" s="39">
        <f ca="1">ROUND(SUM(E163:E168),0)</f>
        <v>0</v>
      </c>
      <c r="F169" s="39">
        <f ca="1">ROUND(SUM(F163:F168),0)</f>
        <v>0</v>
      </c>
      <c r="G169" s="40"/>
      <c r="H169" s="32">
        <f t="shared" ca="1" si="221"/>
        <v>355323</v>
      </c>
      <c r="I169" s="40"/>
      <c r="J169" s="39">
        <f t="shared" ref="J169:P169" ca="1" si="240">ROUND(SUM(J163:J168),0)</f>
        <v>0</v>
      </c>
      <c r="K169" s="39">
        <f t="shared" ca="1" si="240"/>
        <v>0</v>
      </c>
      <c r="L169" s="39">
        <f t="shared" ca="1" si="240"/>
        <v>0</v>
      </c>
      <c r="M169" s="39">
        <f t="shared" ca="1" si="240"/>
        <v>0</v>
      </c>
      <c r="N169" s="39">
        <f t="shared" ca="1" si="240"/>
        <v>0</v>
      </c>
      <c r="O169" s="39">
        <f t="shared" ca="1" si="240"/>
        <v>0</v>
      </c>
      <c r="P169" s="39">
        <f t="shared" ca="1" si="240"/>
        <v>0</v>
      </c>
      <c r="Q169" s="39">
        <f t="shared" ref="Q169:Z169" ca="1" si="241">ROUND(SUM(Q163:Q168),0)</f>
        <v>0</v>
      </c>
      <c r="R169" s="39">
        <f t="shared" ca="1" si="241"/>
        <v>0</v>
      </c>
      <c r="S169" s="39">
        <f ca="1">ROUND(SUM(S163:S168),0)</f>
        <v>0</v>
      </c>
      <c r="T169" s="40"/>
      <c r="U169" s="39">
        <f t="shared" ca="1" si="241"/>
        <v>0</v>
      </c>
      <c r="V169" s="39">
        <f t="shared" ca="1" si="241"/>
        <v>0</v>
      </c>
      <c r="W169" s="39">
        <f ca="1">ROUND(SUM(W163:W168),0)</f>
        <v>0</v>
      </c>
      <c r="X169" s="39">
        <f t="shared" ca="1" si="241"/>
        <v>0</v>
      </c>
      <c r="Y169" s="39">
        <f t="shared" ca="1" si="241"/>
        <v>0</v>
      </c>
      <c r="Z169" s="39">
        <f t="shared" ca="1" si="241"/>
        <v>0</v>
      </c>
      <c r="AA169" s="39">
        <f ca="1">ROUND(SUM(AA163:AA168),0)</f>
        <v>0</v>
      </c>
      <c r="AB169" s="39">
        <f t="shared" ca="1" si="239"/>
        <v>355323</v>
      </c>
    </row>
    <row r="170" spans="1:28" ht="12.75" customHeight="1" thickTop="1">
      <c r="A170" s="708">
        <v>3599</v>
      </c>
      <c r="B170" s="709" t="s">
        <v>294</v>
      </c>
      <c r="C170" s="710">
        <f ca="1">SUM(C21,C29,C37,C45,C50,C52,C60,C65,C69,C73,C78,C83,C91,C97,C99,C105,C110,C112,C117,C122,C124,C130,C135,C140,C145,C153,C161,C169)</f>
        <v>9135106.7699999996</v>
      </c>
      <c r="D170" s="710">
        <f ca="1">SUM(D21,D29,D37,D45,D50,D52,D60,D65,D69,D73,D78,D83,D91,D97,D99,D105,D110,D112,D117,D122,D124,D130,D135,D140,D145,D153,D161,D169)</f>
        <v>4530159.0999999996</v>
      </c>
      <c r="E170" s="710">
        <f ca="1">SUM(E21,E29,E37,E45,E50,E52,E60,E65,E69,E73,E78,E83,E91,E97,E99,E105,E110,E112,E117,E122,E124,E130,E135,E140,E145,E153,E161,E169)</f>
        <v>0</v>
      </c>
      <c r="F170" s="710">
        <f ca="1">SUM(F21,F29,F37,F45,F50,F52,F60,F65,F69,F73,F78,F83,F91,F97,F99,F105,F110,F112,F117,F122,F124,F130,F135,F140,F145,F153,F161,F169)</f>
        <v>0</v>
      </c>
      <c r="G170" s="710">
        <f ca="1">SUM(G21,G29,G45,G50,G52,G60,G65,G69,G73,G78,G91,G97,G99,G105,G110,G112,G117,G122,G124,G130,G135,G140,G145,G153,G161,G169)</f>
        <v>0</v>
      </c>
      <c r="H170" s="710">
        <f ca="1">SUM(H21,H29,H37,H45,H50,H52,H60,H65,H69,H73,H78,H83,H91,H97,H99,H105,H110,H112,H117,H122,H124,H130,H135,H140,H145,H153,H161,H169)</f>
        <v>13665265</v>
      </c>
      <c r="I170" s="710">
        <f ca="1">SUM(I21,I29,I45,I50,I52,I60,I65,I69,I73,I78,I91,I97,I99,I105,I110,I112,I117,I122,I124,I130,I135,I140,I145,I153,I161,I169)</f>
        <v>0</v>
      </c>
      <c r="J170" s="710">
        <f ca="1">SUM(J21,J29,J37,J45,J50,J52,J60,J65,J69,J73,J78,J83,J91,J97,J99,J105,J110,J112,J117,J122,J124,J130,J135,J140,J145,J153,J161,J169)</f>
        <v>0</v>
      </c>
      <c r="K170" s="710">
        <f t="shared" ref="K170:AB170" ca="1" si="242">SUM(K21,K29,K37,K45,K50,K52,K60,K65,K69,K73,K78,K83,K91,K97,K99,K105,K110,K112,K117,K122,K124,K130,K135,K140,K145,K153,K161,K169)</f>
        <v>0</v>
      </c>
      <c r="L170" s="710">
        <f t="shared" ca="1" si="242"/>
        <v>0</v>
      </c>
      <c r="M170" s="710">
        <f t="shared" ca="1" si="242"/>
        <v>0</v>
      </c>
      <c r="N170" s="710">
        <f t="shared" ca="1" si="242"/>
        <v>0</v>
      </c>
      <c r="O170" s="710">
        <f t="shared" ca="1" si="242"/>
        <v>0</v>
      </c>
      <c r="P170" s="710">
        <f ca="1">SUM(P21,P29,P37,P45,P50,P52,P60,P65,P69,P73,P78,P83,P91,P97,P99,P105,P110,P112,P117,P122,P124,P130,P135,P140,P145,P153,P161,P169)</f>
        <v>0</v>
      </c>
      <c r="Q170" s="710">
        <f t="shared" ca="1" si="242"/>
        <v>0</v>
      </c>
      <c r="R170" s="710">
        <f t="shared" ca="1" si="242"/>
        <v>0</v>
      </c>
      <c r="S170" s="710">
        <f ca="1">SUM(S21,S29,S37,S45,S50,S52,S60,S65,S69,S73,S78,S83,S91,S97,S99,S105,S110,S112,S117,S122,S124,S130,S135,S140,S145,S153,S161,S169)</f>
        <v>0</v>
      </c>
      <c r="T170" s="578"/>
      <c r="U170" s="710">
        <f t="shared" ca="1" si="242"/>
        <v>0</v>
      </c>
      <c r="V170" s="710">
        <f t="shared" ca="1" si="242"/>
        <v>0</v>
      </c>
      <c r="W170" s="710">
        <f ca="1">SUM(W21,W29,W37,W45,W50,W52,W60,W65,W69,W73,W78,W83,W91,W97,W99,W105,W110,W112,W117,W122,W124,W130,W135,W140,W145,W153,W161,W169)</f>
        <v>0</v>
      </c>
      <c r="X170" s="710">
        <f t="shared" ca="1" si="242"/>
        <v>0</v>
      </c>
      <c r="Y170" s="710">
        <f t="shared" ca="1" si="242"/>
        <v>0</v>
      </c>
      <c r="Z170" s="710">
        <f t="shared" ca="1" si="242"/>
        <v>0</v>
      </c>
      <c r="AA170" s="710">
        <f t="shared" ca="1" si="242"/>
        <v>0</v>
      </c>
      <c r="AB170" s="710">
        <f t="shared" ca="1" si="242"/>
        <v>13665265</v>
      </c>
    </row>
  </sheetData>
  <sheetProtection algorithmName="SHA-512" hashValue="uGaAFdrTOYgTHQlzoGTWZF7GjvYZgwJgAnak1X62RdOcLbTx2G+BRL4H7ftrTJTxAOmKbxgyMJZbA01xJOySRg==" saltValue="ZLi/52kbeE2ff98TnNOIiQ==" spinCount="100000" sheet="1" objects="1" scenarios="1"/>
  <customSheetViews>
    <customSheetView guid="{EBCA391C-5ACD-495F-8ED1-C69B7D739622}" scale="75" showGridLines="0" hiddenRows="1">
      <pane xSplit="2" ySplit="13" topLeftCell="C14" activePane="bottomRight" state="frozen"/>
      <selection pane="bottomRight" activeCell="A159" sqref="A159"/>
      <rowBreaks count="1" manualBreakCount="1">
        <brk id="77" max="19" man="1"/>
      </rowBreaks>
      <pageMargins left="0" right="0" top="0" bottom="0" header="0" footer="0"/>
      <pageSetup paperSize="5" scale="52" fitToHeight="0" orientation="landscape" r:id="rId1"/>
      <headerFooter alignWithMargins="0">
        <oddFooter>Page &amp;P of &amp;N</oddFooter>
      </headerFooter>
    </customSheetView>
  </customSheetViews>
  <mergeCells count="5">
    <mergeCell ref="X9:AA9"/>
    <mergeCell ref="D6:E6"/>
    <mergeCell ref="G6:H6"/>
    <mergeCell ref="J9:T9"/>
    <mergeCell ref="U9:W9"/>
  </mergeCells>
  <pageMargins left="0.75" right="0.75" top="0.5" bottom="0.5" header="0" footer="0"/>
  <pageSetup paperSize="5" scale="41" fitToHeight="0" orientation="landscape" r:id="rId2"/>
  <headerFooter alignWithMargins="0">
    <oddFooter>Page &amp;P of &amp;N</oddFooter>
  </headerFooter>
  <rowBreaks count="1" manualBreakCount="1">
    <brk id="91" max="19" man="1"/>
  </rowBreaks>
  <drawing r:id="rId3"/>
  <legacyDrawing r:id="rId4"/>
  <mc:AlternateContent xmlns:mc="http://schemas.openxmlformats.org/markup-compatibility/2006">
    <mc:Choice Requires="x14">
      <controls>
        <mc:AlternateContent xmlns:mc="http://schemas.openxmlformats.org/markup-compatibility/2006">
          <mc:Choice Requires="x14">
            <control shapeId="26628" r:id="rId5" name="Button 4">
              <controlPr defaultSize="0" print="0" autoFill="0" autoPict="0" macro="schedule3_total!Print_sch3_total">
                <anchor moveWithCells="1" sizeWithCells="1">
                  <from>
                    <xdr:col>1</xdr:col>
                    <xdr:colOff>0</xdr:colOff>
                    <xdr:row>9</xdr:row>
                    <xdr:rowOff>1104900</xdr:rowOff>
                  </from>
                  <to>
                    <xdr:col>1</xdr:col>
                    <xdr:colOff>23042880</xdr:colOff>
                    <xdr:row>12</xdr:row>
                    <xdr:rowOff>205740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tabColor theme="6"/>
  </sheetPr>
  <dimension ref="A2:AH170"/>
  <sheetViews>
    <sheetView workbookViewId="0">
      <pane xSplit="4" ySplit="13" topLeftCell="E14" activePane="bottomRight" state="frozen"/>
      <selection pane="bottomRight" activeCell="I75" sqref="I75"/>
      <selection pane="bottomLeft" activeCell="A14" sqref="A14"/>
      <selection pane="topRight" activeCell="E1" sqref="E1"/>
    </sheetView>
  </sheetViews>
  <sheetFormatPr defaultColWidth="8.77734375" defaultRowHeight="12.75" customHeight="1"/>
  <cols>
    <col min="1" max="1" width="0.44140625" style="73" customWidth="1"/>
    <col min="2" max="2" width="2.44140625" style="73" customWidth="1"/>
    <col min="3" max="3" width="6.109375" style="73" customWidth="1"/>
    <col min="4" max="4" width="51.109375" style="73" customWidth="1"/>
    <col min="5" max="20" width="10.77734375" style="73" customWidth="1"/>
    <col min="21" max="21" width="11.109375" style="73" customWidth="1"/>
    <col min="22" max="22" width="10.77734375" style="73" customWidth="1"/>
    <col min="23" max="24" width="11.77734375" style="73" customWidth="1"/>
    <col min="25" max="29" width="10.77734375" style="73" customWidth="1"/>
    <col min="30" max="30" width="11.77734375" style="73" customWidth="1"/>
    <col min="31" max="31" width="11.109375" style="73" customWidth="1"/>
    <col min="32" max="32" width="12.109375" style="73" customWidth="1"/>
    <col min="33" max="16384" width="8.77734375" style="73"/>
  </cols>
  <sheetData>
    <row r="2" spans="1:34" ht="11.65" hidden="1" customHeight="1">
      <c r="A2" s="30"/>
      <c r="B2" s="30"/>
      <c r="C2" s="30"/>
      <c r="D2" s="711">
        <v>1</v>
      </c>
      <c r="E2" s="30">
        <f>D2+1</f>
        <v>2</v>
      </c>
      <c r="F2" s="30"/>
      <c r="G2" s="139"/>
      <c r="H2" s="139"/>
      <c r="I2" s="139"/>
      <c r="J2" s="139"/>
      <c r="K2" s="139"/>
      <c r="L2" s="30"/>
      <c r="M2" s="30"/>
      <c r="N2" s="30"/>
      <c r="O2" s="30"/>
      <c r="P2" s="30"/>
      <c r="Q2" s="30"/>
      <c r="R2" s="30"/>
      <c r="S2" s="30"/>
      <c r="T2" s="30"/>
      <c r="U2" s="30"/>
      <c r="V2" s="30"/>
      <c r="W2" s="30"/>
      <c r="X2" s="30"/>
      <c r="Y2" s="30"/>
      <c r="Z2" s="30"/>
      <c r="AA2" s="30"/>
      <c r="AB2" s="30"/>
      <c r="AC2" s="30"/>
      <c r="AD2" s="30"/>
      <c r="AE2" s="30"/>
      <c r="AF2" s="30"/>
      <c r="AG2" s="30"/>
      <c r="AH2" s="30"/>
    </row>
    <row r="3" spans="1:34" ht="11.65" customHeight="1">
      <c r="A3" s="30"/>
      <c r="B3" s="30"/>
      <c r="C3" s="30"/>
      <c r="D3" s="140"/>
      <c r="E3" s="118"/>
      <c r="F3" s="141"/>
      <c r="G3" s="3"/>
      <c r="H3" s="30"/>
      <c r="I3" s="30"/>
      <c r="J3" s="139"/>
      <c r="K3" s="139"/>
      <c r="L3" s="30"/>
      <c r="M3" s="30"/>
      <c r="N3" s="30"/>
      <c r="O3" s="30"/>
      <c r="P3" s="30"/>
      <c r="Q3" s="30"/>
      <c r="R3" s="30"/>
      <c r="S3" s="30"/>
      <c r="T3" s="30"/>
      <c r="U3" s="1"/>
      <c r="V3" s="30"/>
      <c r="W3" s="30"/>
      <c r="X3" s="30"/>
      <c r="Y3" s="30"/>
      <c r="Z3" s="30"/>
      <c r="AA3" s="30"/>
      <c r="AB3" s="30"/>
      <c r="AC3" s="30"/>
      <c r="AD3" s="30"/>
      <c r="AE3" s="30"/>
      <c r="AF3" s="30"/>
      <c r="AG3" s="30"/>
      <c r="AH3" s="30"/>
    </row>
    <row r="4" spans="1:34" ht="12.75" customHeight="1">
      <c r="A4" s="30"/>
      <c r="B4" s="30"/>
      <c r="C4" s="30"/>
      <c r="D4" s="142"/>
      <c r="E4" s="21"/>
      <c r="F4" s="158"/>
      <c r="G4" s="30"/>
      <c r="H4" s="30"/>
      <c r="I4" s="30"/>
      <c r="J4" s="145"/>
      <c r="K4" s="30"/>
      <c r="L4" s="30"/>
      <c r="M4" s="30"/>
      <c r="N4" s="591"/>
      <c r="O4" s="591"/>
      <c r="P4" s="591"/>
      <c r="Q4" s="591"/>
      <c r="R4" s="591"/>
      <c r="S4" s="591"/>
      <c r="T4" s="591"/>
      <c r="U4" s="591"/>
      <c r="V4" s="591"/>
      <c r="W4" s="591"/>
      <c r="X4" s="591"/>
      <c r="Y4" s="591"/>
      <c r="Z4" s="591"/>
      <c r="AA4" s="591"/>
      <c r="AB4" s="591"/>
      <c r="AC4" s="591"/>
      <c r="AD4" s="591"/>
      <c r="AE4" s="30"/>
      <c r="AF4" s="30"/>
      <c r="AG4" s="30"/>
      <c r="AH4" s="30"/>
    </row>
    <row r="5" spans="1:34" ht="12.75" customHeight="1">
      <c r="A5" s="30">
        <v>6</v>
      </c>
      <c r="B5" s="30"/>
      <c r="C5" s="29" t="s">
        <v>1065</v>
      </c>
      <c r="D5" s="30"/>
      <c r="E5" s="513" t="s">
        <v>856</v>
      </c>
      <c r="F5" s="728" t="s">
        <v>857</v>
      </c>
      <c r="G5" s="729"/>
      <c r="H5" s="513" t="s">
        <v>224</v>
      </c>
      <c r="I5" s="728" t="s">
        <v>1105</v>
      </c>
      <c r="J5" s="729"/>
      <c r="K5" s="728" t="s">
        <v>1106</v>
      </c>
      <c r="L5" s="729"/>
      <c r="M5" s="527"/>
      <c r="N5" s="592"/>
      <c r="O5" s="592"/>
      <c r="P5" s="592"/>
      <c r="Q5" s="592"/>
      <c r="R5" s="592"/>
      <c r="S5" s="592"/>
      <c r="T5" s="592"/>
      <c r="U5" s="591"/>
      <c r="V5" s="591"/>
      <c r="W5" s="592"/>
      <c r="X5" s="591"/>
      <c r="Y5" s="591"/>
      <c r="Z5" s="591"/>
      <c r="AA5" s="591"/>
      <c r="AB5" s="591"/>
      <c r="AC5" s="591"/>
      <c r="AD5" s="591"/>
      <c r="AE5" s="30"/>
      <c r="AF5" s="30"/>
      <c r="AG5" s="30"/>
      <c r="AH5" s="30"/>
    </row>
    <row r="6" spans="1:34" ht="12.75" customHeight="1">
      <c r="A6" s="30"/>
      <c r="B6" s="30"/>
      <c r="C6" s="29" t="s">
        <v>1107</v>
      </c>
      <c r="D6" s="115"/>
      <c r="E6" s="74" t="str">
        <f>schools!B1</f>
        <v>162</v>
      </c>
      <c r="F6" s="730" t="str">
        <f>schools!C1</f>
        <v>Lunenburg</v>
      </c>
      <c r="G6" s="731"/>
      <c r="H6" s="74" t="s">
        <v>1108</v>
      </c>
      <c r="I6" s="732" t="s">
        <v>1109</v>
      </c>
      <c r="J6" s="733"/>
      <c r="K6" s="666" t="s">
        <v>1110</v>
      </c>
      <c r="L6" s="667">
        <v>12</v>
      </c>
      <c r="M6" s="83"/>
      <c r="N6" s="593"/>
      <c r="O6" s="593"/>
      <c r="P6" s="593"/>
      <c r="Q6" s="593"/>
      <c r="R6" s="593"/>
      <c r="S6" s="593"/>
      <c r="T6" s="593"/>
      <c r="U6" s="591"/>
      <c r="V6" s="591"/>
      <c r="W6" s="591"/>
      <c r="X6" s="591"/>
      <c r="Y6" s="591"/>
      <c r="Z6" s="591"/>
      <c r="AA6" s="591"/>
      <c r="AB6" s="591"/>
      <c r="AC6" s="591"/>
      <c r="AD6" s="591"/>
      <c r="AE6" s="30"/>
      <c r="AF6" s="30"/>
      <c r="AG6" s="30"/>
      <c r="AH6" s="30"/>
    </row>
    <row r="7" spans="1:34" ht="12.75" customHeight="1">
      <c r="A7" s="30"/>
      <c r="B7" s="30"/>
      <c r="C7" s="30"/>
      <c r="D7" s="139"/>
      <c r="E7" s="139"/>
      <c r="F7" s="139"/>
      <c r="G7" s="139"/>
      <c r="H7" s="139"/>
      <c r="I7" s="139"/>
      <c r="J7" s="139"/>
      <c r="K7" s="139"/>
      <c r="L7" s="30"/>
      <c r="M7" s="30"/>
      <c r="N7" s="527"/>
      <c r="O7" s="527"/>
      <c r="P7" s="527"/>
      <c r="Q7" s="527"/>
      <c r="R7" s="527"/>
      <c r="S7" s="527"/>
      <c r="T7" s="527"/>
      <c r="U7" s="30"/>
      <c r="V7" s="30"/>
      <c r="W7" s="527"/>
      <c r="X7" s="30"/>
      <c r="Y7" s="30"/>
      <c r="Z7" s="30"/>
      <c r="AA7" s="30"/>
      <c r="AB7" s="30"/>
      <c r="AC7" s="30"/>
      <c r="AD7" s="30"/>
      <c r="AE7" s="30"/>
      <c r="AF7" s="30"/>
      <c r="AG7" s="30"/>
      <c r="AH7" s="30"/>
    </row>
    <row r="8" spans="1:34" ht="12.75" customHeight="1">
      <c r="A8" s="30"/>
      <c r="B8" s="30"/>
      <c r="C8" s="30"/>
      <c r="D8" s="30"/>
      <c r="E8" s="513">
        <v>1</v>
      </c>
      <c r="F8" s="513">
        <v>2</v>
      </c>
      <c r="G8" s="513">
        <v>3</v>
      </c>
      <c r="H8" s="513">
        <v>4</v>
      </c>
      <c r="I8" s="513">
        <v>5</v>
      </c>
      <c r="J8" s="513">
        <v>6</v>
      </c>
      <c r="K8" s="513">
        <v>7</v>
      </c>
      <c r="L8" s="513">
        <v>8</v>
      </c>
      <c r="M8" s="513">
        <v>9</v>
      </c>
      <c r="N8" s="513">
        <v>10</v>
      </c>
      <c r="O8" s="513">
        <v>11</v>
      </c>
      <c r="P8" s="513">
        <v>12</v>
      </c>
      <c r="Q8" s="513">
        <v>13</v>
      </c>
      <c r="R8" s="513">
        <v>14</v>
      </c>
      <c r="S8" s="513">
        <v>15</v>
      </c>
      <c r="T8" s="513">
        <v>16</v>
      </c>
      <c r="U8" s="707">
        <v>17</v>
      </c>
      <c r="V8" s="513">
        <v>18</v>
      </c>
      <c r="W8" s="513">
        <v>19</v>
      </c>
      <c r="X8" s="513">
        <v>20</v>
      </c>
      <c r="Y8" s="513">
        <v>21</v>
      </c>
      <c r="Z8" s="513">
        <v>22</v>
      </c>
      <c r="AA8" s="513">
        <v>23</v>
      </c>
      <c r="AB8" s="513">
        <v>24</v>
      </c>
      <c r="AC8" s="513">
        <v>25</v>
      </c>
      <c r="AD8" s="513">
        <v>26</v>
      </c>
      <c r="AE8" s="30"/>
      <c r="AF8" s="30"/>
      <c r="AG8" s="30"/>
      <c r="AH8" s="30"/>
    </row>
    <row r="9" spans="1:34" s="143" customFormat="1" ht="12.75" customHeight="1">
      <c r="A9" s="30"/>
      <c r="B9" s="30"/>
      <c r="C9" s="30"/>
      <c r="D9" s="30"/>
      <c r="E9" s="532"/>
      <c r="F9" s="532"/>
      <c r="G9" s="532"/>
      <c r="H9" s="533"/>
      <c r="I9" s="532"/>
      <c r="J9" s="532"/>
      <c r="K9" s="532"/>
      <c r="L9" s="725" t="s">
        <v>1067</v>
      </c>
      <c r="M9" s="726"/>
      <c r="N9" s="726"/>
      <c r="O9" s="726"/>
      <c r="P9" s="726"/>
      <c r="Q9" s="726"/>
      <c r="R9" s="726"/>
      <c r="S9" s="726"/>
      <c r="T9" s="726"/>
      <c r="U9" s="726"/>
      <c r="V9" s="727"/>
      <c r="W9" s="725" t="s">
        <v>1068</v>
      </c>
      <c r="X9" s="726"/>
      <c r="Y9" s="727"/>
      <c r="Z9" s="720" t="s">
        <v>1069</v>
      </c>
      <c r="AA9" s="721"/>
      <c r="AB9" s="721"/>
      <c r="AC9" s="722"/>
      <c r="AD9" s="534"/>
      <c r="AF9" s="144"/>
      <c r="AG9" s="144"/>
      <c r="AH9" s="144"/>
    </row>
    <row r="10" spans="1:34" s="143" customFormat="1" ht="12.75" customHeight="1">
      <c r="A10" s="30"/>
      <c r="B10" s="30"/>
      <c r="C10" s="30"/>
      <c r="D10" s="30"/>
      <c r="E10" s="535"/>
      <c r="F10" s="535"/>
      <c r="G10" s="536"/>
      <c r="H10" s="662" t="s">
        <v>1070</v>
      </c>
      <c r="I10" s="535"/>
      <c r="J10" s="530"/>
      <c r="K10" s="530"/>
      <c r="L10" s="537"/>
      <c r="M10" s="538"/>
      <c r="N10" s="538"/>
      <c r="O10" s="538"/>
      <c r="P10" s="538"/>
      <c r="Q10" s="528"/>
      <c r="R10" s="528"/>
      <c r="S10" s="530" t="s">
        <v>58</v>
      </c>
      <c r="T10" s="530" t="s">
        <v>212</v>
      </c>
      <c r="U10" s="530"/>
      <c r="V10" s="544"/>
      <c r="W10" s="530"/>
      <c r="X10" s="530" t="s">
        <v>212</v>
      </c>
      <c r="Y10" s="530"/>
      <c r="Z10" s="530"/>
      <c r="AA10" s="530"/>
      <c r="AB10" s="530" t="s">
        <v>224</v>
      </c>
      <c r="AC10" s="530"/>
      <c r="AD10" s="530" t="s">
        <v>133</v>
      </c>
      <c r="AF10" s="144"/>
      <c r="AG10" s="144"/>
      <c r="AH10" s="144"/>
    </row>
    <row r="11" spans="1:34" s="143" customFormat="1" ht="12.75" customHeight="1">
      <c r="A11" s="30"/>
      <c r="B11" s="30"/>
      <c r="C11" s="30"/>
      <c r="D11" s="120"/>
      <c r="E11" s="530"/>
      <c r="F11" s="530"/>
      <c r="G11" s="589" t="s">
        <v>1071</v>
      </c>
      <c r="H11" s="663" t="s">
        <v>1072</v>
      </c>
      <c r="I11" s="530"/>
      <c r="J11" s="530" t="s">
        <v>133</v>
      </c>
      <c r="K11" s="530"/>
      <c r="L11" s="530"/>
      <c r="M11" s="530"/>
      <c r="N11" s="553"/>
      <c r="O11" s="553"/>
      <c r="P11" s="553"/>
      <c r="Q11" s="530" t="s">
        <v>1073</v>
      </c>
      <c r="R11" s="530"/>
      <c r="S11" s="530" t="s">
        <v>212</v>
      </c>
      <c r="T11" s="530" t="s">
        <v>1074</v>
      </c>
      <c r="U11" s="530"/>
      <c r="V11" s="530"/>
      <c r="W11" s="530" t="s">
        <v>212</v>
      </c>
      <c r="X11" s="530" t="s">
        <v>1074</v>
      </c>
      <c r="Y11" s="530" t="s">
        <v>58</v>
      </c>
      <c r="Z11" s="530"/>
      <c r="AA11" s="530"/>
      <c r="AB11" s="530" t="s">
        <v>1075</v>
      </c>
      <c r="AC11" s="530" t="s">
        <v>58</v>
      </c>
      <c r="AD11" s="530" t="s">
        <v>1076</v>
      </c>
      <c r="AF11" s="144"/>
      <c r="AG11" s="144"/>
      <c r="AH11" s="144"/>
    </row>
    <row r="12" spans="1:34" s="143" customFormat="1" ht="12.75" customHeight="1">
      <c r="A12" s="30"/>
      <c r="B12" s="30"/>
      <c r="C12" s="30"/>
      <c r="D12" s="120"/>
      <c r="E12" s="530" t="s">
        <v>1077</v>
      </c>
      <c r="F12" s="539" t="s">
        <v>1078</v>
      </c>
      <c r="G12" s="589" t="s">
        <v>1079</v>
      </c>
      <c r="H12" s="540" t="s">
        <v>58</v>
      </c>
      <c r="I12" s="530"/>
      <c r="J12" s="530" t="s">
        <v>224</v>
      </c>
      <c r="K12" s="541" t="s">
        <v>1080</v>
      </c>
      <c r="L12" s="530" t="s">
        <v>217</v>
      </c>
      <c r="M12" s="530" t="s">
        <v>218</v>
      </c>
      <c r="N12" s="530" t="s">
        <v>1081</v>
      </c>
      <c r="O12" s="530" t="s">
        <v>1082</v>
      </c>
      <c r="P12" s="530" t="s">
        <v>1083</v>
      </c>
      <c r="Q12" s="530" t="s">
        <v>1084</v>
      </c>
      <c r="R12" s="530"/>
      <c r="S12" s="530" t="s">
        <v>1074</v>
      </c>
      <c r="T12" s="530" t="s">
        <v>1085</v>
      </c>
      <c r="U12" s="530" t="s">
        <v>58</v>
      </c>
      <c r="V12" s="530"/>
      <c r="W12" s="530" t="s">
        <v>1074</v>
      </c>
      <c r="X12" s="530" t="s">
        <v>1086</v>
      </c>
      <c r="Y12" s="530" t="s">
        <v>1086</v>
      </c>
      <c r="Z12" s="530" t="s">
        <v>220</v>
      </c>
      <c r="AA12" s="530" t="s">
        <v>313</v>
      </c>
      <c r="AB12" s="530" t="s">
        <v>58</v>
      </c>
      <c r="AC12" s="530" t="s">
        <v>225</v>
      </c>
      <c r="AD12" s="530" t="s">
        <v>1087</v>
      </c>
    </row>
    <row r="13" spans="1:34" ht="12.75" customHeight="1">
      <c r="A13" s="30"/>
      <c r="B13" s="30"/>
      <c r="C13" s="30"/>
      <c r="D13" s="30"/>
      <c r="E13" s="531" t="s">
        <v>1088</v>
      </c>
      <c r="F13" s="531" t="s">
        <v>1089</v>
      </c>
      <c r="G13" s="590" t="s">
        <v>1090</v>
      </c>
      <c r="H13" s="543" t="s">
        <v>315</v>
      </c>
      <c r="I13" s="531" t="s">
        <v>1091</v>
      </c>
      <c r="J13" s="531" t="s">
        <v>573</v>
      </c>
      <c r="K13" s="531" t="s">
        <v>1092</v>
      </c>
      <c r="L13" s="531" t="s">
        <v>1093</v>
      </c>
      <c r="M13" s="531" t="s">
        <v>228</v>
      </c>
      <c r="N13" s="531" t="s">
        <v>1094</v>
      </c>
      <c r="O13" s="531" t="s">
        <v>1095</v>
      </c>
      <c r="P13" s="531" t="s">
        <v>1096</v>
      </c>
      <c r="Q13" s="531" t="s">
        <v>1097</v>
      </c>
      <c r="R13" s="531" t="s">
        <v>1098</v>
      </c>
      <c r="S13" s="531" t="s">
        <v>1085</v>
      </c>
      <c r="T13" s="531" t="s">
        <v>1070</v>
      </c>
      <c r="U13" s="531" t="s">
        <v>1085</v>
      </c>
      <c r="V13" s="531" t="s">
        <v>1099</v>
      </c>
      <c r="W13" s="531" t="s">
        <v>1086</v>
      </c>
      <c r="X13" s="531" t="s">
        <v>1070</v>
      </c>
      <c r="Y13" s="531" t="s">
        <v>1100</v>
      </c>
      <c r="Z13" s="531" t="s">
        <v>230</v>
      </c>
      <c r="AA13" s="531" t="s">
        <v>1100</v>
      </c>
      <c r="AB13" s="531" t="s">
        <v>232</v>
      </c>
      <c r="AC13" s="531" t="s">
        <v>235</v>
      </c>
      <c r="AD13" s="531" t="s">
        <v>1101</v>
      </c>
      <c r="AE13" s="30"/>
      <c r="AF13" s="30"/>
      <c r="AG13" s="30"/>
      <c r="AH13" s="30"/>
    </row>
    <row r="14" spans="1:34" ht="12.75" customHeight="1">
      <c r="A14" s="30"/>
      <c r="B14" s="30"/>
      <c r="C14" s="120" t="s">
        <v>38</v>
      </c>
      <c r="D14" s="120" t="s">
        <v>99</v>
      </c>
      <c r="E14" s="30"/>
      <c r="F14" s="30"/>
      <c r="G14" s="30"/>
      <c r="H14" s="30"/>
      <c r="I14" s="30"/>
      <c r="J14" s="30"/>
      <c r="K14" s="145"/>
      <c r="L14" s="145"/>
      <c r="M14" s="145"/>
      <c r="N14" s="145"/>
      <c r="O14" s="145"/>
      <c r="P14" s="145"/>
      <c r="Q14" s="145"/>
      <c r="R14" s="145"/>
      <c r="S14" s="145"/>
      <c r="T14" s="145"/>
      <c r="U14" s="145"/>
      <c r="V14" s="145"/>
      <c r="W14" s="145"/>
      <c r="X14" s="145"/>
      <c r="Y14" s="145"/>
      <c r="Z14" s="145"/>
      <c r="AA14" s="145"/>
      <c r="AB14" s="145"/>
      <c r="AC14" s="145"/>
      <c r="AD14" s="145"/>
      <c r="AE14" s="30"/>
      <c r="AF14" s="30"/>
      <c r="AG14" s="30"/>
      <c r="AH14" s="30"/>
    </row>
    <row r="15" spans="1:34" ht="12.75" customHeight="1">
      <c r="A15" s="30"/>
      <c r="B15" s="30"/>
      <c r="C15" s="31">
        <v>3401</v>
      </c>
      <c r="D15" s="32" t="s">
        <v>91</v>
      </c>
      <c r="E15" s="20">
        <v>121000</v>
      </c>
      <c r="F15" s="20">
        <v>142900</v>
      </c>
      <c r="G15" s="20"/>
      <c r="H15" s="20"/>
      <c r="I15" s="33"/>
      <c r="J15" s="32">
        <f>ROUND(SUM(E15:H15),0)</f>
        <v>263900</v>
      </c>
      <c r="K15" s="33"/>
      <c r="L15" s="20">
        <v>5000</v>
      </c>
      <c r="M15" s="20"/>
      <c r="N15" s="20"/>
      <c r="O15" s="20"/>
      <c r="P15" s="196"/>
      <c r="Q15" s="196"/>
      <c r="R15" s="196"/>
      <c r="S15" s="20"/>
      <c r="T15" s="20"/>
      <c r="U15" s="20">
        <v>31383</v>
      </c>
      <c r="V15" s="33"/>
      <c r="W15" s="20"/>
      <c r="X15" s="20"/>
      <c r="Y15" s="20"/>
      <c r="Z15" s="20"/>
      <c r="AA15" s="20"/>
      <c r="AB15" s="20"/>
      <c r="AC15" s="32"/>
      <c r="AD15" s="32">
        <f>SUM(J15:AC15)</f>
        <v>300283</v>
      </c>
      <c r="AE15" s="30"/>
      <c r="AF15" s="30"/>
      <c r="AG15" s="30"/>
      <c r="AH15" s="30"/>
    </row>
    <row r="16" spans="1:34" ht="12.75" customHeight="1">
      <c r="A16" s="30"/>
      <c r="B16" s="30"/>
      <c r="C16" s="31">
        <v>3402</v>
      </c>
      <c r="D16" s="32" t="s">
        <v>84</v>
      </c>
      <c r="E16" s="20"/>
      <c r="F16" s="20">
        <v>57351</v>
      </c>
      <c r="G16" s="20"/>
      <c r="H16" s="20"/>
      <c r="I16" s="33"/>
      <c r="J16" s="32">
        <f t="shared" ref="J16:J21" si="0">ROUND(SUM(E16:H16),0)</f>
        <v>57351</v>
      </c>
      <c r="K16" s="33"/>
      <c r="L16" s="20"/>
      <c r="M16" s="20"/>
      <c r="N16" s="20"/>
      <c r="O16" s="20"/>
      <c r="P16" s="196"/>
      <c r="Q16" s="196"/>
      <c r="R16" s="196"/>
      <c r="S16" s="20"/>
      <c r="T16" s="20"/>
      <c r="U16" s="20"/>
      <c r="V16" s="33"/>
      <c r="W16" s="20"/>
      <c r="X16" s="20"/>
      <c r="Y16" s="20"/>
      <c r="Z16" s="20"/>
      <c r="AA16" s="20"/>
      <c r="AB16" s="20"/>
      <c r="AC16" s="20"/>
      <c r="AD16" s="32">
        <f t="shared" ref="AD16:AD21" si="1">ROUND(SUM(J16:AC16),0)</f>
        <v>57351</v>
      </c>
      <c r="AE16" s="30"/>
      <c r="AF16" s="30"/>
      <c r="AG16" s="30"/>
      <c r="AH16" s="30"/>
    </row>
    <row r="17" spans="3:30" ht="12.75" customHeight="1">
      <c r="C17" s="31">
        <v>3403</v>
      </c>
      <c r="D17" s="32" t="s">
        <v>85</v>
      </c>
      <c r="E17" s="20"/>
      <c r="F17" s="20"/>
      <c r="G17" s="20"/>
      <c r="H17" s="20"/>
      <c r="I17" s="33"/>
      <c r="J17" s="32">
        <f t="shared" si="0"/>
        <v>0</v>
      </c>
      <c r="K17" s="33"/>
      <c r="L17" s="20"/>
      <c r="M17" s="20"/>
      <c r="N17" s="20"/>
      <c r="O17" s="20"/>
      <c r="P17" s="196"/>
      <c r="Q17" s="196"/>
      <c r="R17" s="196"/>
      <c r="S17" s="20"/>
      <c r="T17" s="20"/>
      <c r="U17" s="20"/>
      <c r="V17" s="33"/>
      <c r="W17" s="20"/>
      <c r="X17" s="20"/>
      <c r="Y17" s="20"/>
      <c r="Z17" s="20"/>
      <c r="AA17" s="20"/>
      <c r="AB17" s="20"/>
      <c r="AC17" s="20"/>
      <c r="AD17" s="32">
        <f t="shared" si="1"/>
        <v>0</v>
      </c>
    </row>
    <row r="18" spans="3:30" ht="12.75" customHeight="1">
      <c r="C18" s="31">
        <v>3404</v>
      </c>
      <c r="D18" s="32" t="s">
        <v>86</v>
      </c>
      <c r="E18" s="20"/>
      <c r="F18" s="20">
        <v>29483</v>
      </c>
      <c r="G18" s="20"/>
      <c r="H18" s="20"/>
      <c r="I18" s="33"/>
      <c r="J18" s="32">
        <f t="shared" si="0"/>
        <v>29483</v>
      </c>
      <c r="K18" s="33"/>
      <c r="L18" s="20">
        <v>625</v>
      </c>
      <c r="M18" s="20"/>
      <c r="N18" s="20"/>
      <c r="O18" s="20"/>
      <c r="P18" s="196"/>
      <c r="Q18" s="196"/>
      <c r="R18" s="196"/>
      <c r="S18" s="20"/>
      <c r="T18" s="20"/>
      <c r="U18" s="20"/>
      <c r="V18" s="33"/>
      <c r="W18" s="20">
        <v>775.58</v>
      </c>
      <c r="X18" s="20"/>
      <c r="Y18" s="20"/>
      <c r="Z18" s="20"/>
      <c r="AA18" s="20"/>
      <c r="AB18" s="20"/>
      <c r="AC18" s="20"/>
      <c r="AD18" s="32">
        <f t="shared" si="1"/>
        <v>30884</v>
      </c>
    </row>
    <row r="19" spans="3:30" ht="12.75" customHeight="1">
      <c r="C19" s="31">
        <v>3405</v>
      </c>
      <c r="D19" s="32" t="s">
        <v>87</v>
      </c>
      <c r="E19" s="20">
        <v>32287</v>
      </c>
      <c r="F19" s="20">
        <v>25612.17</v>
      </c>
      <c r="G19" s="20"/>
      <c r="H19" s="20"/>
      <c r="I19" s="33"/>
      <c r="J19" s="32">
        <f t="shared" si="0"/>
        <v>57899</v>
      </c>
      <c r="K19" s="33"/>
      <c r="L19" s="20"/>
      <c r="M19" s="20"/>
      <c r="N19" s="20"/>
      <c r="O19" s="20"/>
      <c r="P19" s="196"/>
      <c r="Q19" s="196"/>
      <c r="R19" s="196"/>
      <c r="S19" s="20"/>
      <c r="T19" s="20"/>
      <c r="U19" s="20"/>
      <c r="V19" s="33"/>
      <c r="W19" s="20"/>
      <c r="X19" s="20"/>
      <c r="Y19" s="20"/>
      <c r="Z19" s="20"/>
      <c r="AA19" s="20">
        <v>31053</v>
      </c>
      <c r="AB19" s="20"/>
      <c r="AC19" s="20"/>
      <c r="AD19" s="32">
        <f t="shared" si="1"/>
        <v>88952</v>
      </c>
    </row>
    <row r="20" spans="3:30" ht="12.75" customHeight="1">
      <c r="C20" s="31">
        <v>3406</v>
      </c>
      <c r="D20" s="32" t="s">
        <v>88</v>
      </c>
      <c r="E20" s="20"/>
      <c r="F20" s="20"/>
      <c r="G20" s="20"/>
      <c r="H20" s="20"/>
      <c r="I20" s="33"/>
      <c r="J20" s="32">
        <f t="shared" si="0"/>
        <v>0</v>
      </c>
      <c r="K20" s="33"/>
      <c r="L20" s="20"/>
      <c r="M20" s="20"/>
      <c r="N20" s="20"/>
      <c r="O20" s="20"/>
      <c r="P20" s="196"/>
      <c r="Q20" s="196"/>
      <c r="R20" s="196"/>
      <c r="S20" s="20"/>
      <c r="T20" s="20"/>
      <c r="U20" s="20"/>
      <c r="V20" s="33"/>
      <c r="W20" s="20"/>
      <c r="X20" s="20"/>
      <c r="Y20" s="20"/>
      <c r="Z20" s="20"/>
      <c r="AA20" s="20"/>
      <c r="AB20" s="20"/>
      <c r="AC20" s="20"/>
      <c r="AD20" s="32">
        <f t="shared" si="1"/>
        <v>0</v>
      </c>
    </row>
    <row r="21" spans="3:30" ht="12.75" customHeight="1">
      <c r="C21" s="31">
        <v>3409</v>
      </c>
      <c r="D21" s="34" t="s">
        <v>89</v>
      </c>
      <c r="E21" s="32">
        <f>ROUND(SUM(E15:E20),0)</f>
        <v>153287</v>
      </c>
      <c r="F21" s="32">
        <f>ROUND(SUM(F15:F20),0)</f>
        <v>255346</v>
      </c>
      <c r="G21" s="32">
        <f>ROUND(SUM(G15:G20),0)</f>
        <v>0</v>
      </c>
      <c r="H21" s="32">
        <f>ROUND(SUM(H15:H20),0)</f>
        <v>0</v>
      </c>
      <c r="I21" s="33"/>
      <c r="J21" s="32">
        <f t="shared" si="0"/>
        <v>408633</v>
      </c>
      <c r="K21" s="33"/>
      <c r="L21" s="30">
        <v>5625</v>
      </c>
      <c r="M21" s="32">
        <f t="shared" ref="M21:R21" si="2">ROUND(SUM(M15:M20),0)</f>
        <v>0</v>
      </c>
      <c r="N21" s="32">
        <f t="shared" si="2"/>
        <v>0</v>
      </c>
      <c r="O21" s="32">
        <f t="shared" si="2"/>
        <v>0</v>
      </c>
      <c r="P21" s="32">
        <f t="shared" si="2"/>
        <v>0</v>
      </c>
      <c r="Q21" s="32">
        <f t="shared" si="2"/>
        <v>0</v>
      </c>
      <c r="R21" s="32">
        <f t="shared" si="2"/>
        <v>0</v>
      </c>
      <c r="S21" s="32">
        <f t="shared" ref="S21:AC21" si="3">ROUND(SUM(S15:S20),0)</f>
        <v>0</v>
      </c>
      <c r="T21" s="32">
        <f t="shared" si="3"/>
        <v>0</v>
      </c>
      <c r="U21" s="32">
        <f t="shared" si="3"/>
        <v>31383</v>
      </c>
      <c r="V21" s="33"/>
      <c r="W21" s="32">
        <f t="shared" si="3"/>
        <v>776</v>
      </c>
      <c r="X21" s="32">
        <f>ROUND(SUM(X15:X20),0)</f>
        <v>0</v>
      </c>
      <c r="Y21" s="32">
        <f t="shared" si="3"/>
        <v>0</v>
      </c>
      <c r="Z21" s="32">
        <f t="shared" si="3"/>
        <v>0</v>
      </c>
      <c r="AA21" s="32">
        <f t="shared" si="3"/>
        <v>31053</v>
      </c>
      <c r="AB21" s="32">
        <f t="shared" si="3"/>
        <v>0</v>
      </c>
      <c r="AC21" s="32">
        <f t="shared" si="3"/>
        <v>0</v>
      </c>
      <c r="AD21" s="32">
        <f t="shared" si="1"/>
        <v>477470</v>
      </c>
    </row>
    <row r="22" spans="3:30" ht="12.75" customHeight="1">
      <c r="C22" s="35"/>
      <c r="D22" s="120" t="s">
        <v>291</v>
      </c>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3:30" ht="12.75" customHeight="1">
      <c r="C23" s="31">
        <v>3411</v>
      </c>
      <c r="D23" s="32" t="s">
        <v>91</v>
      </c>
      <c r="E23" s="20"/>
      <c r="F23" s="20"/>
      <c r="G23" s="20"/>
      <c r="H23" s="20"/>
      <c r="I23" s="33"/>
      <c r="J23" s="32">
        <f t="shared" ref="J23:J29" si="4">ROUND(SUM(E23:H23),0)</f>
        <v>0</v>
      </c>
      <c r="K23" s="33"/>
      <c r="L23" s="20"/>
      <c r="M23" s="20"/>
      <c r="N23" s="20"/>
      <c r="O23" s="20"/>
      <c r="P23" s="196"/>
      <c r="Q23" s="196"/>
      <c r="R23" s="196"/>
      <c r="S23" s="20"/>
      <c r="T23" s="20"/>
      <c r="U23" s="20"/>
      <c r="V23" s="33"/>
      <c r="W23" s="20"/>
      <c r="X23" s="20"/>
      <c r="Y23" s="20"/>
      <c r="Z23" s="20"/>
      <c r="AA23" s="20"/>
      <c r="AB23" s="20"/>
      <c r="AC23" s="20"/>
      <c r="AD23" s="32">
        <f t="shared" ref="AD23:AD29" si="5">ROUND(SUM(J23:AC23),0)</f>
        <v>0</v>
      </c>
    </row>
    <row r="24" spans="3:30" ht="12.75" customHeight="1">
      <c r="C24" s="31">
        <v>3412</v>
      </c>
      <c r="D24" s="32" t="s">
        <v>84</v>
      </c>
      <c r="E24" s="20"/>
      <c r="F24" s="20"/>
      <c r="G24" s="20"/>
      <c r="H24" s="20"/>
      <c r="I24" s="33"/>
      <c r="J24" s="32">
        <f t="shared" si="4"/>
        <v>0</v>
      </c>
      <c r="K24" s="33"/>
      <c r="L24" s="20"/>
      <c r="M24" s="20"/>
      <c r="N24" s="20"/>
      <c r="O24" s="20"/>
      <c r="P24" s="196"/>
      <c r="Q24" s="196"/>
      <c r="R24" s="196"/>
      <c r="S24" s="20"/>
      <c r="T24" s="20"/>
      <c r="U24" s="20"/>
      <c r="V24" s="33"/>
      <c r="W24" s="20"/>
      <c r="X24" s="20"/>
      <c r="Y24" s="20"/>
      <c r="Z24" s="20"/>
      <c r="AA24" s="20"/>
      <c r="AB24" s="20"/>
      <c r="AC24" s="20"/>
      <c r="AD24" s="32">
        <f t="shared" si="5"/>
        <v>0</v>
      </c>
    </row>
    <row r="25" spans="3:30" ht="12.75" customHeight="1">
      <c r="C25" s="31">
        <v>3413</v>
      </c>
      <c r="D25" s="32" t="s">
        <v>85</v>
      </c>
      <c r="E25" s="20"/>
      <c r="F25" s="20"/>
      <c r="G25" s="20"/>
      <c r="H25" s="20"/>
      <c r="I25" s="33"/>
      <c r="J25" s="32">
        <f t="shared" si="4"/>
        <v>0</v>
      </c>
      <c r="K25" s="33"/>
      <c r="L25" s="20"/>
      <c r="M25" s="20"/>
      <c r="N25" s="20"/>
      <c r="O25" s="20"/>
      <c r="P25" s="196"/>
      <c r="Q25" s="196"/>
      <c r="R25" s="196"/>
      <c r="S25" s="20"/>
      <c r="T25" s="20"/>
      <c r="U25" s="20"/>
      <c r="V25" s="33"/>
      <c r="W25" s="20"/>
      <c r="X25" s="20"/>
      <c r="Y25" s="20"/>
      <c r="Z25" s="20"/>
      <c r="AA25" s="20"/>
      <c r="AB25" s="20"/>
      <c r="AC25" s="20"/>
      <c r="AD25" s="32">
        <f t="shared" si="5"/>
        <v>0</v>
      </c>
    </row>
    <row r="26" spans="3:30" ht="12.75" customHeight="1">
      <c r="C26" s="31">
        <v>3414</v>
      </c>
      <c r="D26" s="32" t="s">
        <v>86</v>
      </c>
      <c r="E26" s="20"/>
      <c r="F26" s="20"/>
      <c r="G26" s="20"/>
      <c r="H26" s="20"/>
      <c r="I26" s="33"/>
      <c r="J26" s="32">
        <f t="shared" si="4"/>
        <v>0</v>
      </c>
      <c r="K26" s="33"/>
      <c r="L26" s="20"/>
      <c r="M26" s="20"/>
      <c r="N26" s="20"/>
      <c r="O26" s="20"/>
      <c r="P26" s="196"/>
      <c r="Q26" s="196"/>
      <c r="R26" s="196"/>
      <c r="S26" s="20"/>
      <c r="T26" s="20"/>
      <c r="U26" s="20"/>
      <c r="V26" s="33"/>
      <c r="W26" s="20"/>
      <c r="X26" s="20"/>
      <c r="Y26" s="20"/>
      <c r="Z26" s="20"/>
      <c r="AA26" s="20"/>
      <c r="AB26" s="20"/>
      <c r="AC26" s="20"/>
      <c r="AD26" s="32">
        <f t="shared" si="5"/>
        <v>0</v>
      </c>
    </row>
    <row r="27" spans="3:30" ht="12.75" customHeight="1">
      <c r="C27" s="31">
        <v>3415</v>
      </c>
      <c r="D27" s="32" t="s">
        <v>87</v>
      </c>
      <c r="E27" s="20"/>
      <c r="F27" s="20"/>
      <c r="G27" s="20"/>
      <c r="H27" s="20"/>
      <c r="I27" s="33"/>
      <c r="J27" s="32">
        <f t="shared" si="4"/>
        <v>0</v>
      </c>
      <c r="K27" s="33"/>
      <c r="L27" s="20"/>
      <c r="M27" s="20"/>
      <c r="N27" s="20"/>
      <c r="O27" s="20"/>
      <c r="P27" s="196"/>
      <c r="Q27" s="196"/>
      <c r="R27" s="196"/>
      <c r="S27" s="20"/>
      <c r="T27" s="20"/>
      <c r="U27" s="20"/>
      <c r="V27" s="33"/>
      <c r="W27" s="20"/>
      <c r="X27" s="20"/>
      <c r="Y27" s="20"/>
      <c r="Z27" s="20"/>
      <c r="AA27" s="20"/>
      <c r="AB27" s="20"/>
      <c r="AC27" s="20"/>
      <c r="AD27" s="32">
        <f t="shared" si="5"/>
        <v>0</v>
      </c>
    </row>
    <row r="28" spans="3:30" ht="12.75" customHeight="1">
      <c r="C28" s="31">
        <v>3416</v>
      </c>
      <c r="D28" s="32" t="s">
        <v>88</v>
      </c>
      <c r="E28" s="20"/>
      <c r="F28" s="20"/>
      <c r="G28" s="20"/>
      <c r="H28" s="20"/>
      <c r="I28" s="33"/>
      <c r="J28" s="32">
        <f t="shared" si="4"/>
        <v>0</v>
      </c>
      <c r="K28" s="33"/>
      <c r="L28" s="20"/>
      <c r="M28" s="20"/>
      <c r="N28" s="20"/>
      <c r="O28" s="20"/>
      <c r="P28" s="196"/>
      <c r="Q28" s="196"/>
      <c r="R28" s="196"/>
      <c r="S28" s="20"/>
      <c r="T28" s="20"/>
      <c r="U28" s="20"/>
      <c r="V28" s="33"/>
      <c r="W28" s="20"/>
      <c r="X28" s="20"/>
      <c r="Y28" s="20"/>
      <c r="Z28" s="20"/>
      <c r="AA28" s="20"/>
      <c r="AB28" s="20"/>
      <c r="AC28" s="20"/>
      <c r="AD28" s="32">
        <f t="shared" si="5"/>
        <v>0</v>
      </c>
    </row>
    <row r="29" spans="3:30" ht="12.75" customHeight="1">
      <c r="C29" s="31">
        <v>3419</v>
      </c>
      <c r="D29" s="34" t="s">
        <v>89</v>
      </c>
      <c r="E29" s="32">
        <f>ROUND(SUM(E23:E28),0)</f>
        <v>0</v>
      </c>
      <c r="F29" s="32">
        <f>ROUND(SUM(F23:F28),0)</f>
        <v>0</v>
      </c>
      <c r="G29" s="32">
        <f>ROUND(SUM(G23:G28),0)</f>
        <v>0</v>
      </c>
      <c r="H29" s="32">
        <f>ROUND(SUM(H23:H28),0)</f>
        <v>0</v>
      </c>
      <c r="I29" s="33"/>
      <c r="J29" s="32">
        <f t="shared" si="4"/>
        <v>0</v>
      </c>
      <c r="K29" s="33"/>
      <c r="L29" s="32">
        <f t="shared" ref="L29:R29" si="6">ROUND(SUM(L23:L28),0)</f>
        <v>0</v>
      </c>
      <c r="M29" s="32">
        <f t="shared" si="6"/>
        <v>0</v>
      </c>
      <c r="N29" s="32">
        <f t="shared" si="6"/>
        <v>0</v>
      </c>
      <c r="O29" s="32">
        <f t="shared" si="6"/>
        <v>0</v>
      </c>
      <c r="P29" s="32">
        <f t="shared" si="6"/>
        <v>0</v>
      </c>
      <c r="Q29" s="32">
        <f t="shared" si="6"/>
        <v>0</v>
      </c>
      <c r="R29" s="32">
        <f t="shared" si="6"/>
        <v>0</v>
      </c>
      <c r="S29" s="32">
        <f t="shared" ref="S29:AB29" si="7">ROUND(SUM(S23:S28),0)</f>
        <v>0</v>
      </c>
      <c r="T29" s="32">
        <f t="shared" si="7"/>
        <v>0</v>
      </c>
      <c r="U29" s="32">
        <f t="shared" si="7"/>
        <v>0</v>
      </c>
      <c r="V29" s="33"/>
      <c r="W29" s="32">
        <f t="shared" si="7"/>
        <v>0</v>
      </c>
      <c r="X29" s="32">
        <f>ROUND(SUM(X23:X28),0)</f>
        <v>0</v>
      </c>
      <c r="Y29" s="32">
        <f t="shared" si="7"/>
        <v>0</v>
      </c>
      <c r="Z29" s="32">
        <f t="shared" si="7"/>
        <v>0</v>
      </c>
      <c r="AA29" s="32">
        <f t="shared" si="7"/>
        <v>0</v>
      </c>
      <c r="AB29" s="32">
        <f t="shared" si="7"/>
        <v>0</v>
      </c>
      <c r="AC29" s="32">
        <f>ROUND(SUM(AC23:AC28),0)</f>
        <v>0</v>
      </c>
      <c r="AD29" s="32">
        <f t="shared" si="5"/>
        <v>0</v>
      </c>
    </row>
    <row r="30" spans="3:30" ht="12.75" customHeight="1">
      <c r="C30" s="35"/>
      <c r="D30" s="120" t="s">
        <v>102</v>
      </c>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3:30" ht="12.75" customHeight="1">
      <c r="C31" s="31">
        <v>3421</v>
      </c>
      <c r="D31" s="32" t="s">
        <v>91</v>
      </c>
      <c r="E31" s="20"/>
      <c r="F31" s="20"/>
      <c r="G31" s="20"/>
      <c r="H31" s="20"/>
      <c r="I31" s="33"/>
      <c r="J31" s="32">
        <f t="shared" ref="J31:J37" si="8">ROUND(SUM(E31:H31),0)</f>
        <v>0</v>
      </c>
      <c r="K31" s="33"/>
      <c r="L31" s="20"/>
      <c r="M31" s="20"/>
      <c r="N31" s="20"/>
      <c r="O31" s="20"/>
      <c r="P31" s="196"/>
      <c r="Q31" s="196"/>
      <c r="R31" s="196"/>
      <c r="S31" s="20"/>
      <c r="T31" s="20"/>
      <c r="U31" s="20"/>
      <c r="V31" s="33"/>
      <c r="W31" s="20"/>
      <c r="X31" s="20"/>
      <c r="Y31" s="20"/>
      <c r="Z31" s="20"/>
      <c r="AA31" s="20"/>
      <c r="AB31" s="20"/>
      <c r="AC31" s="20"/>
      <c r="AD31" s="32">
        <f t="shared" ref="AD31:AD37" si="9">ROUND(SUM(J31:AC31),0)</f>
        <v>0</v>
      </c>
    </row>
    <row r="32" spans="3:30" ht="12.75" customHeight="1">
      <c r="C32" s="31">
        <v>3422</v>
      </c>
      <c r="D32" s="32" t="s">
        <v>84</v>
      </c>
      <c r="E32" s="20"/>
      <c r="F32" s="20"/>
      <c r="G32" s="20"/>
      <c r="H32" s="20"/>
      <c r="I32" s="33"/>
      <c r="J32" s="32">
        <f t="shared" si="8"/>
        <v>0</v>
      </c>
      <c r="K32" s="33"/>
      <c r="L32" s="20"/>
      <c r="M32" s="20"/>
      <c r="N32" s="20"/>
      <c r="O32" s="20"/>
      <c r="P32" s="196"/>
      <c r="Q32" s="196"/>
      <c r="R32" s="196"/>
      <c r="S32" s="20"/>
      <c r="T32" s="20"/>
      <c r="U32" s="20"/>
      <c r="V32" s="33"/>
      <c r="W32" s="20"/>
      <c r="X32" s="20"/>
      <c r="Y32" s="20"/>
      <c r="Z32" s="20"/>
      <c r="AA32" s="20"/>
      <c r="AB32" s="20"/>
      <c r="AC32" s="20"/>
      <c r="AD32" s="32">
        <f t="shared" si="9"/>
        <v>0</v>
      </c>
    </row>
    <row r="33" spans="3:30" ht="12.75" customHeight="1">
      <c r="C33" s="31">
        <v>3423</v>
      </c>
      <c r="D33" s="32" t="s">
        <v>85</v>
      </c>
      <c r="E33" s="20"/>
      <c r="F33" s="20"/>
      <c r="G33" s="20"/>
      <c r="H33" s="20"/>
      <c r="I33" s="33"/>
      <c r="J33" s="32">
        <f t="shared" si="8"/>
        <v>0</v>
      </c>
      <c r="K33" s="33"/>
      <c r="L33" s="20"/>
      <c r="M33" s="20"/>
      <c r="N33" s="20"/>
      <c r="O33" s="20"/>
      <c r="P33" s="196"/>
      <c r="Q33" s="196"/>
      <c r="R33" s="196"/>
      <c r="S33" s="20"/>
      <c r="T33" s="20"/>
      <c r="U33" s="20"/>
      <c r="V33" s="33"/>
      <c r="W33" s="20"/>
      <c r="X33" s="20"/>
      <c r="Y33" s="20"/>
      <c r="Z33" s="20"/>
      <c r="AA33" s="20"/>
      <c r="AB33" s="20"/>
      <c r="AC33" s="20"/>
      <c r="AD33" s="32">
        <f t="shared" si="9"/>
        <v>0</v>
      </c>
    </row>
    <row r="34" spans="3:30" ht="12.75" customHeight="1">
      <c r="C34" s="31">
        <v>3424</v>
      </c>
      <c r="D34" s="32" t="s">
        <v>86</v>
      </c>
      <c r="E34" s="20"/>
      <c r="F34" s="20"/>
      <c r="G34" s="20"/>
      <c r="H34" s="20"/>
      <c r="I34" s="33"/>
      <c r="J34" s="32">
        <f t="shared" si="8"/>
        <v>0</v>
      </c>
      <c r="K34" s="33"/>
      <c r="L34" s="20"/>
      <c r="M34" s="20"/>
      <c r="N34" s="20"/>
      <c r="O34" s="20"/>
      <c r="P34" s="196"/>
      <c r="Q34" s="196"/>
      <c r="R34" s="196"/>
      <c r="S34" s="20"/>
      <c r="T34" s="20"/>
      <c r="U34" s="20"/>
      <c r="V34" s="33"/>
      <c r="W34" s="20"/>
      <c r="X34" s="20"/>
      <c r="Y34" s="20"/>
      <c r="Z34" s="20"/>
      <c r="AA34" s="20"/>
      <c r="AB34" s="20"/>
      <c r="AC34" s="20"/>
      <c r="AD34" s="32">
        <f t="shared" si="9"/>
        <v>0</v>
      </c>
    </row>
    <row r="35" spans="3:30" ht="12.75" customHeight="1">
      <c r="C35" s="31">
        <v>3425</v>
      </c>
      <c r="D35" s="32" t="s">
        <v>87</v>
      </c>
      <c r="E35" s="20"/>
      <c r="F35" s="20"/>
      <c r="G35" s="20"/>
      <c r="H35" s="20"/>
      <c r="I35" s="33"/>
      <c r="J35" s="32">
        <f t="shared" si="8"/>
        <v>0</v>
      </c>
      <c r="K35" s="33"/>
      <c r="L35" s="20"/>
      <c r="M35" s="20"/>
      <c r="N35" s="20"/>
      <c r="O35" s="20"/>
      <c r="P35" s="196"/>
      <c r="Q35" s="196"/>
      <c r="R35" s="196"/>
      <c r="S35" s="20"/>
      <c r="T35" s="20"/>
      <c r="U35" s="20"/>
      <c r="V35" s="33"/>
      <c r="W35" s="20"/>
      <c r="X35" s="20"/>
      <c r="Y35" s="20"/>
      <c r="Z35" s="20"/>
      <c r="AA35" s="20"/>
      <c r="AB35" s="20"/>
      <c r="AC35" s="20"/>
      <c r="AD35" s="32">
        <f t="shared" si="9"/>
        <v>0</v>
      </c>
    </row>
    <row r="36" spans="3:30" ht="12.75" customHeight="1">
      <c r="C36" s="31">
        <v>3426</v>
      </c>
      <c r="D36" s="32" t="s">
        <v>88</v>
      </c>
      <c r="E36" s="20"/>
      <c r="F36" s="20"/>
      <c r="G36" s="20"/>
      <c r="H36" s="20"/>
      <c r="I36" s="33"/>
      <c r="J36" s="32">
        <f t="shared" si="8"/>
        <v>0</v>
      </c>
      <c r="K36" s="33"/>
      <c r="L36" s="20"/>
      <c r="M36" s="20"/>
      <c r="N36" s="20"/>
      <c r="O36" s="20"/>
      <c r="P36" s="196"/>
      <c r="Q36" s="196"/>
      <c r="R36" s="196"/>
      <c r="S36" s="20"/>
      <c r="T36" s="20"/>
      <c r="U36" s="20"/>
      <c r="V36" s="33"/>
      <c r="W36" s="20"/>
      <c r="X36" s="20"/>
      <c r="Y36" s="20"/>
      <c r="Z36" s="20"/>
      <c r="AA36" s="20"/>
      <c r="AB36" s="20"/>
      <c r="AC36" s="20"/>
      <c r="AD36" s="32">
        <f t="shared" si="9"/>
        <v>0</v>
      </c>
    </row>
    <row r="37" spans="3:30" ht="12.75" customHeight="1">
      <c r="C37" s="31">
        <v>3427</v>
      </c>
      <c r="D37" s="34" t="s">
        <v>89</v>
      </c>
      <c r="E37" s="32">
        <f>ROUND(SUM(E31:E36),0)</f>
        <v>0</v>
      </c>
      <c r="F37" s="32">
        <f>ROUND(SUM(F31:F36),0)</f>
        <v>0</v>
      </c>
      <c r="G37" s="32">
        <f>ROUND(SUM(G31:G36),0)</f>
        <v>0</v>
      </c>
      <c r="H37" s="32">
        <f>ROUND(SUM(H31:H36),0)</f>
        <v>0</v>
      </c>
      <c r="I37" s="33"/>
      <c r="J37" s="32">
        <f t="shared" si="8"/>
        <v>0</v>
      </c>
      <c r="K37" s="33"/>
      <c r="L37" s="32">
        <f t="shared" ref="L37:R37" si="10">ROUND(SUM(L31:L36),0)</f>
        <v>0</v>
      </c>
      <c r="M37" s="32">
        <f t="shared" si="10"/>
        <v>0</v>
      </c>
      <c r="N37" s="32">
        <f t="shared" si="10"/>
        <v>0</v>
      </c>
      <c r="O37" s="32">
        <f t="shared" si="10"/>
        <v>0</v>
      </c>
      <c r="P37" s="32">
        <f t="shared" si="10"/>
        <v>0</v>
      </c>
      <c r="Q37" s="32">
        <f t="shared" si="10"/>
        <v>0</v>
      </c>
      <c r="R37" s="32">
        <f t="shared" si="10"/>
        <v>0</v>
      </c>
      <c r="S37" s="32">
        <f t="shared" ref="S37:AB37" si="11">ROUND(SUM(S31:S36),0)</f>
        <v>0</v>
      </c>
      <c r="T37" s="32">
        <f t="shared" si="11"/>
        <v>0</v>
      </c>
      <c r="U37" s="32">
        <f t="shared" si="11"/>
        <v>0</v>
      </c>
      <c r="V37" s="33"/>
      <c r="W37" s="32">
        <f t="shared" si="11"/>
        <v>0</v>
      </c>
      <c r="X37" s="32">
        <f>ROUND(SUM(X31:X36),0)</f>
        <v>0</v>
      </c>
      <c r="Y37" s="32">
        <f t="shared" si="11"/>
        <v>0</v>
      </c>
      <c r="Z37" s="32">
        <f t="shared" si="11"/>
        <v>0</v>
      </c>
      <c r="AA37" s="32">
        <f t="shared" si="11"/>
        <v>0</v>
      </c>
      <c r="AB37" s="32">
        <f t="shared" si="11"/>
        <v>0</v>
      </c>
      <c r="AC37" s="32">
        <f>ROUND(SUM(AC31:AC36),0)</f>
        <v>0</v>
      </c>
      <c r="AD37" s="32">
        <f t="shared" si="9"/>
        <v>0</v>
      </c>
    </row>
    <row r="38" spans="3:30" ht="12.75" customHeight="1">
      <c r="C38" s="35"/>
      <c r="D38" s="120" t="s">
        <v>103</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row>
    <row r="39" spans="3:30" ht="12.75" customHeight="1">
      <c r="C39" s="31">
        <v>3428</v>
      </c>
      <c r="D39" s="32" t="s">
        <v>91</v>
      </c>
      <c r="E39" s="33"/>
      <c r="F39" s="33"/>
      <c r="G39" s="33"/>
      <c r="H39" s="33"/>
      <c r="I39" s="20">
        <v>886431</v>
      </c>
      <c r="J39" s="32">
        <f t="shared" ref="J39:J44" si="12">ROUND(I39,0)</f>
        <v>886431</v>
      </c>
      <c r="K39" s="33"/>
      <c r="L39" s="20"/>
      <c r="M39" s="20"/>
      <c r="N39" s="20"/>
      <c r="O39" s="20"/>
      <c r="P39" s="196"/>
      <c r="Q39" s="196"/>
      <c r="R39" s="196"/>
      <c r="S39" s="20"/>
      <c r="T39" s="20"/>
      <c r="U39" s="20"/>
      <c r="V39" s="33"/>
      <c r="W39" s="20"/>
      <c r="X39" s="20"/>
      <c r="Y39" s="20"/>
      <c r="Z39" s="20"/>
      <c r="AA39" s="20"/>
      <c r="AB39" s="20"/>
      <c r="AC39" s="20"/>
      <c r="AD39" s="32">
        <f t="shared" ref="AD39:AD45" si="13">ROUND(SUM(J39:AC39),0)</f>
        <v>886431</v>
      </c>
    </row>
    <row r="40" spans="3:30" ht="12.75" customHeight="1">
      <c r="C40" s="31">
        <v>3429</v>
      </c>
      <c r="D40" s="32" t="s">
        <v>84</v>
      </c>
      <c r="E40" s="33"/>
      <c r="F40" s="33"/>
      <c r="G40" s="33"/>
      <c r="H40" s="33"/>
      <c r="I40" s="20">
        <v>258111.48</v>
      </c>
      <c r="J40" s="32">
        <f t="shared" si="12"/>
        <v>258111</v>
      </c>
      <c r="K40" s="33"/>
      <c r="L40" s="20"/>
      <c r="M40" s="20"/>
      <c r="N40" s="20"/>
      <c r="O40" s="20"/>
      <c r="P40" s="196"/>
      <c r="Q40" s="196"/>
      <c r="R40" s="196"/>
      <c r="S40" s="20"/>
      <c r="T40" s="20"/>
      <c r="U40" s="20"/>
      <c r="V40" s="33"/>
      <c r="W40" s="20"/>
      <c r="X40" s="20"/>
      <c r="Y40" s="20"/>
      <c r="Z40" s="20"/>
      <c r="AA40" s="20"/>
      <c r="AB40" s="20"/>
      <c r="AC40" s="20"/>
      <c r="AD40" s="32">
        <f t="shared" si="13"/>
        <v>258111</v>
      </c>
    </row>
    <row r="41" spans="3:30" ht="12.75" customHeight="1">
      <c r="C41" s="31">
        <v>3430</v>
      </c>
      <c r="D41" s="32" t="s">
        <v>85</v>
      </c>
      <c r="E41" s="33"/>
      <c r="F41" s="33"/>
      <c r="G41" s="33"/>
      <c r="H41" s="33"/>
      <c r="I41" s="20"/>
      <c r="J41" s="32">
        <f t="shared" si="12"/>
        <v>0</v>
      </c>
      <c r="K41" s="33"/>
      <c r="L41" s="20"/>
      <c r="M41" s="20"/>
      <c r="N41" s="20"/>
      <c r="O41" s="20"/>
      <c r="P41" s="196"/>
      <c r="Q41" s="196"/>
      <c r="R41" s="196"/>
      <c r="S41" s="20">
        <v>56691</v>
      </c>
      <c r="T41" s="20"/>
      <c r="U41" s="20"/>
      <c r="V41" s="33"/>
      <c r="W41" s="20"/>
      <c r="X41" s="20"/>
      <c r="Y41" s="20"/>
      <c r="Z41" s="20"/>
      <c r="AA41" s="20"/>
      <c r="AB41" s="20"/>
      <c r="AC41" s="20"/>
      <c r="AD41" s="32">
        <f t="shared" si="13"/>
        <v>56691</v>
      </c>
    </row>
    <row r="42" spans="3:30" ht="12.75" customHeight="1">
      <c r="C42" s="31">
        <v>3431</v>
      </c>
      <c r="D42" s="32" t="s">
        <v>86</v>
      </c>
      <c r="E42" s="33"/>
      <c r="F42" s="33"/>
      <c r="G42" s="33"/>
      <c r="H42" s="33"/>
      <c r="I42" s="20"/>
      <c r="J42" s="32">
        <f t="shared" si="12"/>
        <v>0</v>
      </c>
      <c r="K42" s="33"/>
      <c r="L42" s="20">
        <v>49805.03</v>
      </c>
      <c r="M42" s="20"/>
      <c r="N42" s="20"/>
      <c r="O42" s="20"/>
      <c r="P42" s="196"/>
      <c r="Q42" s="196"/>
      <c r="R42" s="196"/>
      <c r="S42" s="20"/>
      <c r="T42" s="20"/>
      <c r="U42" s="20"/>
      <c r="V42" s="33"/>
      <c r="W42" s="20"/>
      <c r="X42" s="20"/>
      <c r="Y42" s="20"/>
      <c r="Z42" s="20"/>
      <c r="AA42" s="20"/>
      <c r="AB42" s="20"/>
      <c r="AC42" s="20"/>
      <c r="AD42" s="32">
        <f t="shared" si="13"/>
        <v>49805</v>
      </c>
    </row>
    <row r="43" spans="3:30" ht="12.75" customHeight="1">
      <c r="C43" s="31">
        <v>3432</v>
      </c>
      <c r="D43" s="32" t="s">
        <v>87</v>
      </c>
      <c r="E43" s="33"/>
      <c r="F43" s="33"/>
      <c r="G43" s="33"/>
      <c r="H43" s="33"/>
      <c r="I43" s="20">
        <v>12917.51</v>
      </c>
      <c r="J43" s="32">
        <f t="shared" si="12"/>
        <v>12918</v>
      </c>
      <c r="K43" s="33"/>
      <c r="L43" s="20"/>
      <c r="M43" s="20"/>
      <c r="N43" s="20"/>
      <c r="O43" s="20"/>
      <c r="P43" s="196"/>
      <c r="Q43" s="196"/>
      <c r="R43" s="196"/>
      <c r="S43" s="20"/>
      <c r="T43" s="20"/>
      <c r="U43" s="20"/>
      <c r="V43" s="33"/>
      <c r="W43" s="20"/>
      <c r="X43" s="20"/>
      <c r="Y43" s="20"/>
      <c r="Z43" s="20"/>
      <c r="AA43" s="20"/>
      <c r="AB43" s="20"/>
      <c r="AC43" s="20"/>
      <c r="AD43" s="32">
        <f t="shared" si="13"/>
        <v>12918</v>
      </c>
    </row>
    <row r="44" spans="3:30" ht="12.75" customHeight="1">
      <c r="C44" s="31">
        <v>3433</v>
      </c>
      <c r="D44" s="32" t="s">
        <v>88</v>
      </c>
      <c r="E44" s="33"/>
      <c r="F44" s="33"/>
      <c r="G44" s="33"/>
      <c r="H44" s="33"/>
      <c r="I44" s="20">
        <v>8250.65</v>
      </c>
      <c r="J44" s="32">
        <f t="shared" si="12"/>
        <v>8251</v>
      </c>
      <c r="K44" s="33"/>
      <c r="L44" s="20"/>
      <c r="M44" s="20"/>
      <c r="N44" s="20"/>
      <c r="O44" s="20"/>
      <c r="P44" s="196"/>
      <c r="Q44" s="196"/>
      <c r="R44" s="196"/>
      <c r="S44" s="20"/>
      <c r="T44" s="20"/>
      <c r="U44" s="20"/>
      <c r="V44" s="33"/>
      <c r="W44" s="20"/>
      <c r="X44" s="20"/>
      <c r="Y44" s="20"/>
      <c r="Z44" s="20"/>
      <c r="AA44" s="20"/>
      <c r="AB44" s="20"/>
      <c r="AC44" s="20"/>
      <c r="AD44" s="32">
        <f t="shared" si="13"/>
        <v>8251</v>
      </c>
    </row>
    <row r="45" spans="3:30" ht="12.75" customHeight="1">
      <c r="C45" s="31">
        <v>3434</v>
      </c>
      <c r="D45" s="34" t="s">
        <v>89</v>
      </c>
      <c r="E45" s="33"/>
      <c r="F45" s="33"/>
      <c r="G45" s="33"/>
      <c r="H45" s="33"/>
      <c r="I45" s="32">
        <f>ROUND(SUM(I39:I44),0)</f>
        <v>1165711</v>
      </c>
      <c r="J45" s="32">
        <f>ROUND(SUM(I45),0)</f>
        <v>1165711</v>
      </c>
      <c r="K45" s="33"/>
      <c r="L45" s="32">
        <f t="shared" ref="L45:T45" si="14">ROUND(SUM(L39:L44),0)</f>
        <v>49805</v>
      </c>
      <c r="M45" s="32">
        <f t="shared" si="14"/>
        <v>0</v>
      </c>
      <c r="N45" s="32">
        <f t="shared" si="14"/>
        <v>0</v>
      </c>
      <c r="O45" s="32">
        <f t="shared" si="14"/>
        <v>0</v>
      </c>
      <c r="P45" s="32">
        <f t="shared" si="14"/>
        <v>0</v>
      </c>
      <c r="Q45" s="32">
        <f>ROUND(SUM(Q39:Q44),0)</f>
        <v>0</v>
      </c>
      <c r="R45" s="32">
        <f>ROUND(SUM(R39:R44),0)</f>
        <v>0</v>
      </c>
      <c r="S45" s="32">
        <f t="shared" si="14"/>
        <v>56691</v>
      </c>
      <c r="T45" s="32">
        <f t="shared" si="14"/>
        <v>0</v>
      </c>
      <c r="U45" s="32">
        <f t="shared" ref="U45:AC45" si="15">ROUND(SUM(U39:U44),0)</f>
        <v>0</v>
      </c>
      <c r="V45" s="33"/>
      <c r="W45" s="32">
        <f t="shared" si="15"/>
        <v>0</v>
      </c>
      <c r="X45" s="32">
        <f>ROUND(SUM(X39:X44),0)</f>
        <v>0</v>
      </c>
      <c r="Y45" s="32">
        <f t="shared" si="15"/>
        <v>0</v>
      </c>
      <c r="Z45" s="32">
        <f t="shared" si="15"/>
        <v>0</v>
      </c>
      <c r="AA45" s="32">
        <f t="shared" si="15"/>
        <v>0</v>
      </c>
      <c r="AB45" s="32">
        <f t="shared" si="15"/>
        <v>0</v>
      </c>
      <c r="AC45" s="32">
        <f t="shared" si="15"/>
        <v>0</v>
      </c>
      <c r="AD45" s="32">
        <f t="shared" si="13"/>
        <v>1272207</v>
      </c>
    </row>
    <row r="46" spans="3:30" ht="12.75" customHeight="1">
      <c r="C46" s="35"/>
      <c r="D46" s="120" t="s">
        <v>104</v>
      </c>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row>
    <row r="47" spans="3:30" ht="12.75" customHeight="1">
      <c r="C47" s="31">
        <v>3444</v>
      </c>
      <c r="D47" s="32" t="s">
        <v>86</v>
      </c>
      <c r="E47" s="20"/>
      <c r="F47" s="20"/>
      <c r="G47" s="20"/>
      <c r="H47" s="20"/>
      <c r="I47" s="33"/>
      <c r="J47" s="32">
        <f>SUM(E47:H47)</f>
        <v>0</v>
      </c>
      <c r="K47" s="33"/>
      <c r="L47" s="20"/>
      <c r="M47" s="20"/>
      <c r="N47" s="20"/>
      <c r="O47" s="20"/>
      <c r="P47" s="196"/>
      <c r="Q47" s="196"/>
      <c r="R47" s="196"/>
      <c r="S47" s="20"/>
      <c r="T47" s="20"/>
      <c r="U47" s="20"/>
      <c r="V47" s="33"/>
      <c r="W47" s="20"/>
      <c r="X47" s="20"/>
      <c r="Y47" s="20"/>
      <c r="Z47" s="20"/>
      <c r="AA47" s="20"/>
      <c r="AB47" s="20"/>
      <c r="AC47" s="20"/>
      <c r="AD47" s="32">
        <f>ROUND(SUM(J47:AC47),0)</f>
        <v>0</v>
      </c>
    </row>
    <row r="48" spans="3:30" ht="12.75" customHeight="1">
      <c r="C48" s="31">
        <v>3445</v>
      </c>
      <c r="D48" s="32" t="s">
        <v>87</v>
      </c>
      <c r="E48" s="196"/>
      <c r="F48" s="196"/>
      <c r="G48" s="196"/>
      <c r="H48" s="196"/>
      <c r="I48" s="33"/>
      <c r="J48" s="32">
        <f>SUM(E48:H48)</f>
        <v>0</v>
      </c>
      <c r="K48" s="33"/>
      <c r="L48" s="20"/>
      <c r="M48" s="20"/>
      <c r="N48" s="20"/>
      <c r="O48" s="20"/>
      <c r="P48" s="196"/>
      <c r="Q48" s="196"/>
      <c r="R48" s="196"/>
      <c r="S48" s="20"/>
      <c r="T48" s="20"/>
      <c r="U48" s="20"/>
      <c r="V48" s="33"/>
      <c r="W48" s="20"/>
      <c r="X48" s="20"/>
      <c r="Y48" s="20"/>
      <c r="Z48" s="20"/>
      <c r="AA48" s="20"/>
      <c r="AB48" s="20"/>
      <c r="AC48" s="20"/>
      <c r="AD48" s="32">
        <f>ROUND(SUM(J48:AC48),0)</f>
        <v>0</v>
      </c>
    </row>
    <row r="49" spans="3:30" ht="12.75" customHeight="1">
      <c r="C49" s="31">
        <v>3446</v>
      </c>
      <c r="D49" s="32" t="s">
        <v>88</v>
      </c>
      <c r="E49" s="20"/>
      <c r="F49" s="20"/>
      <c r="G49" s="20"/>
      <c r="H49" s="20"/>
      <c r="I49" s="33"/>
      <c r="J49" s="32">
        <f>SUM(E49:H49)</f>
        <v>0</v>
      </c>
      <c r="K49" s="33"/>
      <c r="L49" s="20"/>
      <c r="M49" s="20"/>
      <c r="N49" s="20"/>
      <c r="O49" s="20"/>
      <c r="P49" s="196"/>
      <c r="Q49" s="196"/>
      <c r="R49" s="196"/>
      <c r="S49" s="20"/>
      <c r="T49" s="20"/>
      <c r="U49" s="20"/>
      <c r="V49" s="33"/>
      <c r="W49" s="20"/>
      <c r="X49" s="20"/>
      <c r="Y49" s="20"/>
      <c r="Z49" s="20"/>
      <c r="AA49" s="20"/>
      <c r="AB49" s="20"/>
      <c r="AC49" s="20"/>
      <c r="AD49" s="32">
        <f>ROUND(SUM(J49:AC49),0)</f>
        <v>0</v>
      </c>
    </row>
    <row r="50" spans="3:30" ht="12.75" customHeight="1">
      <c r="C50" s="31">
        <v>3449</v>
      </c>
      <c r="D50" s="34" t="s">
        <v>89</v>
      </c>
      <c r="E50" s="225">
        <f>SUM(E47:E49)</f>
        <v>0</v>
      </c>
      <c r="F50" s="225">
        <f>SUM(F47:F49)</f>
        <v>0</v>
      </c>
      <c r="G50" s="225">
        <f>SUM(G47:G49)</f>
        <v>0</v>
      </c>
      <c r="H50" s="225">
        <f>SUM(H47:H49)</f>
        <v>0</v>
      </c>
      <c r="I50" s="33"/>
      <c r="J50" s="32">
        <f>ROUND(SUM(E50:H50),0)</f>
        <v>0</v>
      </c>
      <c r="K50" s="33"/>
      <c r="L50" s="32">
        <f t="shared" ref="L50:AC50" si="16">ROUND(SUM(L47:L49),0)</f>
        <v>0</v>
      </c>
      <c r="M50" s="32">
        <f t="shared" si="16"/>
        <v>0</v>
      </c>
      <c r="N50" s="32">
        <f>ROUND(SUM(N47:N49),0)</f>
        <v>0</v>
      </c>
      <c r="O50" s="32">
        <f>ROUND(SUM(O47:O49),0)</f>
        <v>0</v>
      </c>
      <c r="P50" s="32">
        <f>ROUND(SUM(P47:P49),0)</f>
        <v>0</v>
      </c>
      <c r="Q50" s="32">
        <f>ROUND(SUM(Q47:Q49),0)</f>
        <v>0</v>
      </c>
      <c r="R50" s="32">
        <f>ROUND(SUM(R47:R49),0)</f>
        <v>0</v>
      </c>
      <c r="S50" s="32">
        <f t="shared" si="16"/>
        <v>0</v>
      </c>
      <c r="T50" s="32">
        <f t="shared" si="16"/>
        <v>0</v>
      </c>
      <c r="U50" s="32">
        <f t="shared" si="16"/>
        <v>0</v>
      </c>
      <c r="V50" s="33"/>
      <c r="W50" s="32">
        <f t="shared" si="16"/>
        <v>0</v>
      </c>
      <c r="X50" s="32">
        <f>ROUND(SUM(X47:X49),0)</f>
        <v>0</v>
      </c>
      <c r="Y50" s="32">
        <f t="shared" si="16"/>
        <v>0</v>
      </c>
      <c r="Z50" s="32">
        <f t="shared" si="16"/>
        <v>0</v>
      </c>
      <c r="AA50" s="32">
        <f t="shared" si="16"/>
        <v>0</v>
      </c>
      <c r="AB50" s="32">
        <f t="shared" si="16"/>
        <v>0</v>
      </c>
      <c r="AC50" s="32">
        <f t="shared" si="16"/>
        <v>0</v>
      </c>
      <c r="AD50" s="32">
        <f>ROUND(SUM(J50:AC50),0)</f>
        <v>0</v>
      </c>
    </row>
    <row r="51" spans="3:30" ht="12.75" customHeight="1">
      <c r="C51" s="35"/>
      <c r="D51" s="120" t="s">
        <v>105</v>
      </c>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row>
    <row r="52" spans="3:30" ht="12.75" customHeight="1">
      <c r="C52" s="31">
        <v>3450</v>
      </c>
      <c r="D52" s="32" t="s">
        <v>91</v>
      </c>
      <c r="E52" s="20">
        <v>7778201.3600000003</v>
      </c>
      <c r="F52" s="20">
        <v>1997251.1</v>
      </c>
      <c r="G52" s="20"/>
      <c r="H52" s="20"/>
      <c r="I52" s="33"/>
      <c r="J52" s="32">
        <f>ROUND(SUM(E52:H52),0)</f>
        <v>9775452</v>
      </c>
      <c r="K52" s="33"/>
      <c r="L52" s="20">
        <v>321856.41000000003</v>
      </c>
      <c r="M52" s="20">
        <v>0</v>
      </c>
      <c r="N52" s="20"/>
      <c r="O52" s="20">
        <v>50533.9</v>
      </c>
      <c r="P52" s="196">
        <v>696691.07</v>
      </c>
      <c r="Q52" s="196"/>
      <c r="R52" s="196"/>
      <c r="S52" s="20"/>
      <c r="T52" s="20"/>
      <c r="U52" s="20">
        <v>30000</v>
      </c>
      <c r="V52" s="33"/>
      <c r="W52" s="20">
        <v>122103.9</v>
      </c>
      <c r="X52" s="20"/>
      <c r="Y52" s="20"/>
      <c r="Z52" s="20"/>
      <c r="AA52" s="20"/>
      <c r="AB52" s="20">
        <v>97119</v>
      </c>
      <c r="AC52" s="20"/>
      <c r="AD52" s="32">
        <f>ROUND(SUM(J52:AC52),0)</f>
        <v>11093756</v>
      </c>
    </row>
    <row r="53" spans="3:30" ht="12.75" customHeight="1">
      <c r="C53" s="35"/>
      <c r="D53" s="120" t="s">
        <v>106</v>
      </c>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row>
    <row r="54" spans="3:30" ht="12.75" customHeight="1">
      <c r="C54" s="31">
        <v>3452</v>
      </c>
      <c r="D54" s="32" t="s">
        <v>91</v>
      </c>
      <c r="E54" s="196"/>
      <c r="F54" s="196">
        <v>608200.54</v>
      </c>
      <c r="G54" s="196"/>
      <c r="H54" s="196"/>
      <c r="I54" s="33"/>
      <c r="J54" s="32">
        <f t="shared" ref="J54:J60" si="17">ROUND(SUM(E54:H54),0)</f>
        <v>608201</v>
      </c>
      <c r="K54" s="33"/>
      <c r="L54" s="20"/>
      <c r="M54" s="20"/>
      <c r="N54" s="20"/>
      <c r="O54" s="20"/>
      <c r="P54" s="196"/>
      <c r="Q54" s="196"/>
      <c r="R54" s="196"/>
      <c r="S54" s="20">
        <v>6843</v>
      </c>
      <c r="T54" s="20"/>
      <c r="U54" s="20"/>
      <c r="V54" s="33"/>
      <c r="W54" s="20"/>
      <c r="X54" s="20"/>
      <c r="Y54" s="20"/>
      <c r="Z54" s="20"/>
      <c r="AA54" s="20"/>
      <c r="AB54" s="20"/>
      <c r="AC54" s="20"/>
      <c r="AD54" s="32">
        <f t="shared" ref="AD54:AD60" si="18">ROUND(SUM(J54:AC54),0)</f>
        <v>615044</v>
      </c>
    </row>
    <row r="55" spans="3:30" ht="12.75" customHeight="1">
      <c r="C55" s="31">
        <v>3453</v>
      </c>
      <c r="D55" s="32" t="s">
        <v>84</v>
      </c>
      <c r="E55" s="196"/>
      <c r="F55" s="196"/>
      <c r="G55" s="196"/>
      <c r="H55" s="196"/>
      <c r="I55" s="33"/>
      <c r="J55" s="32">
        <f t="shared" si="17"/>
        <v>0</v>
      </c>
      <c r="K55" s="33"/>
      <c r="L55" s="20"/>
      <c r="M55" s="20"/>
      <c r="N55" s="20"/>
      <c r="O55" s="20"/>
      <c r="P55" s="196"/>
      <c r="Q55" s="196"/>
      <c r="R55" s="196"/>
      <c r="S55" s="20"/>
      <c r="T55" s="20"/>
      <c r="U55" s="20"/>
      <c r="V55" s="33"/>
      <c r="W55" s="20"/>
      <c r="X55" s="20"/>
      <c r="Y55" s="20"/>
      <c r="Z55" s="20"/>
      <c r="AA55" s="20"/>
      <c r="AB55" s="20"/>
      <c r="AC55" s="20"/>
      <c r="AD55" s="32">
        <f t="shared" si="18"/>
        <v>0</v>
      </c>
    </row>
    <row r="56" spans="3:30" ht="12.75" customHeight="1">
      <c r="C56" s="31">
        <v>3454</v>
      </c>
      <c r="D56" s="32" t="s">
        <v>85</v>
      </c>
      <c r="E56" s="196"/>
      <c r="F56" s="196"/>
      <c r="G56" s="196"/>
      <c r="H56" s="196"/>
      <c r="I56" s="33"/>
      <c r="J56" s="32">
        <f t="shared" si="17"/>
        <v>0</v>
      </c>
      <c r="K56" s="33"/>
      <c r="L56" s="20"/>
      <c r="M56" s="20"/>
      <c r="N56" s="20"/>
      <c r="O56" s="20"/>
      <c r="P56" s="196"/>
      <c r="Q56" s="196"/>
      <c r="R56" s="196"/>
      <c r="S56" s="20"/>
      <c r="T56" s="20"/>
      <c r="U56" s="20"/>
      <c r="V56" s="33"/>
      <c r="W56" s="20"/>
      <c r="X56" s="20"/>
      <c r="Y56" s="20"/>
      <c r="Z56" s="20"/>
      <c r="AA56" s="20"/>
      <c r="AB56" s="20"/>
      <c r="AC56" s="20"/>
      <c r="AD56" s="32">
        <f t="shared" si="18"/>
        <v>0</v>
      </c>
    </row>
    <row r="57" spans="3:30" ht="12.75" customHeight="1">
      <c r="C57" s="31" t="s">
        <v>1111</v>
      </c>
      <c r="D57" s="32" t="s">
        <v>86</v>
      </c>
      <c r="E57" s="196"/>
      <c r="F57" s="196"/>
      <c r="G57" s="196"/>
      <c r="H57" s="196"/>
      <c r="I57" s="33"/>
      <c r="J57" s="32">
        <f t="shared" si="17"/>
        <v>0</v>
      </c>
      <c r="K57" s="33"/>
      <c r="L57" s="20"/>
      <c r="M57" s="20"/>
      <c r="N57" s="20"/>
      <c r="O57" s="20"/>
      <c r="P57" s="196"/>
      <c r="Q57" s="196"/>
      <c r="R57" s="196"/>
      <c r="S57" s="20"/>
      <c r="T57" s="20"/>
      <c r="U57" s="20"/>
      <c r="V57" s="33"/>
      <c r="W57" s="20"/>
      <c r="X57" s="20"/>
      <c r="Y57" s="20"/>
      <c r="Z57" s="20"/>
      <c r="AA57" s="20"/>
      <c r="AB57" s="20"/>
      <c r="AC57" s="20"/>
      <c r="AD57" s="32">
        <f t="shared" si="18"/>
        <v>0</v>
      </c>
    </row>
    <row r="58" spans="3:30" ht="12.75" customHeight="1">
      <c r="C58" s="502">
        <v>3456</v>
      </c>
      <c r="D58" s="225" t="s">
        <v>87</v>
      </c>
      <c r="E58" s="504"/>
      <c r="F58" s="504"/>
      <c r="G58" s="504"/>
      <c r="H58" s="504"/>
      <c r="I58" s="40"/>
      <c r="J58" s="32">
        <f t="shared" si="17"/>
        <v>0</v>
      </c>
      <c r="K58" s="40"/>
      <c r="L58" s="505"/>
      <c r="M58" s="505"/>
      <c r="N58" s="505"/>
      <c r="O58" s="505"/>
      <c r="P58" s="196"/>
      <c r="Q58" s="196"/>
      <c r="R58" s="196"/>
      <c r="S58" s="505"/>
      <c r="T58" s="505"/>
      <c r="U58" s="505"/>
      <c r="V58" s="40"/>
      <c r="W58" s="505"/>
      <c r="X58" s="505"/>
      <c r="Y58" s="505">
        <v>25233.4</v>
      </c>
      <c r="Z58" s="505"/>
      <c r="AA58" s="505"/>
      <c r="AB58" s="505"/>
      <c r="AC58" s="505"/>
      <c r="AD58" s="32">
        <f t="shared" si="18"/>
        <v>25233</v>
      </c>
    </row>
    <row r="59" spans="3:30" ht="12.75" customHeight="1">
      <c r="C59" s="31" t="s">
        <v>1103</v>
      </c>
      <c r="D59" s="32" t="s">
        <v>88</v>
      </c>
      <c r="E59" s="504"/>
      <c r="F59" s="504"/>
      <c r="G59" s="504"/>
      <c r="H59" s="504"/>
      <c r="I59" s="40"/>
      <c r="J59" s="32">
        <f t="shared" si="17"/>
        <v>0</v>
      </c>
      <c r="K59" s="40"/>
      <c r="L59" s="505"/>
      <c r="M59" s="505"/>
      <c r="N59" s="505"/>
      <c r="O59" s="505"/>
      <c r="P59" s="196"/>
      <c r="Q59" s="196"/>
      <c r="R59" s="196"/>
      <c r="S59" s="505"/>
      <c r="T59" s="505"/>
      <c r="U59" s="505"/>
      <c r="V59" s="40"/>
      <c r="W59" s="505">
        <v>3608</v>
      </c>
      <c r="X59" s="505"/>
      <c r="Y59" s="505"/>
      <c r="Z59" s="505"/>
      <c r="AA59" s="505"/>
      <c r="AB59" s="505"/>
      <c r="AC59" s="505"/>
      <c r="AD59" s="32">
        <f t="shared" si="18"/>
        <v>3608</v>
      </c>
    </row>
    <row r="60" spans="3:30" ht="12.75" customHeight="1">
      <c r="C60" s="37">
        <v>3459</v>
      </c>
      <c r="D60" s="38" t="s">
        <v>89</v>
      </c>
      <c r="E60" s="134">
        <f>ROUND(SUM(E54:E59),0)</f>
        <v>0</v>
      </c>
      <c r="F60" s="134">
        <f>ROUND(SUM(F54:F59),0)</f>
        <v>608201</v>
      </c>
      <c r="G60" s="134">
        <f>ROUND(SUM(G54:G59),0)</f>
        <v>0</v>
      </c>
      <c r="H60" s="134">
        <f>ROUND(SUM(H54:H59),0)</f>
        <v>0</v>
      </c>
      <c r="I60" s="40"/>
      <c r="J60" s="39">
        <f t="shared" si="17"/>
        <v>608201</v>
      </c>
      <c r="K60" s="40"/>
      <c r="L60" s="39">
        <f t="shared" ref="L60:AB60" si="19">ROUND(SUM(L54:L59),0)</f>
        <v>0</v>
      </c>
      <c r="M60" s="39">
        <f t="shared" si="19"/>
        <v>0</v>
      </c>
      <c r="N60" s="39">
        <f>ROUND(SUM(N54:N59),0)</f>
        <v>0</v>
      </c>
      <c r="O60" s="39">
        <f>ROUND(SUM(O54:O59),0)</f>
        <v>0</v>
      </c>
      <c r="P60" s="39">
        <f>ROUND(SUM(P54:P59),0)</f>
        <v>0</v>
      </c>
      <c r="Q60" s="39">
        <f>ROUND(SUM(Q54:Q59),0)</f>
        <v>0</v>
      </c>
      <c r="R60" s="39">
        <f>ROUND(SUM(R54:R59),0)</f>
        <v>0</v>
      </c>
      <c r="S60" s="39">
        <f t="shared" si="19"/>
        <v>6843</v>
      </c>
      <c r="T60" s="39">
        <f t="shared" si="19"/>
        <v>0</v>
      </c>
      <c r="U60" s="39">
        <f t="shared" si="19"/>
        <v>0</v>
      </c>
      <c r="V60" s="40"/>
      <c r="W60" s="39">
        <v>3608</v>
      </c>
      <c r="X60" s="39">
        <f>ROUND(SUM(X54:X59),0)</f>
        <v>0</v>
      </c>
      <c r="Y60" s="39">
        <f t="shared" si="19"/>
        <v>25233</v>
      </c>
      <c r="Z60" s="39">
        <f t="shared" si="19"/>
        <v>0</v>
      </c>
      <c r="AA60" s="39">
        <f t="shared" si="19"/>
        <v>0</v>
      </c>
      <c r="AB60" s="39">
        <f t="shared" si="19"/>
        <v>0</v>
      </c>
      <c r="AC60" s="39">
        <f>ROUND(SUM(AC54:AC59),0)</f>
        <v>0</v>
      </c>
      <c r="AD60" s="39">
        <f t="shared" si="18"/>
        <v>643885</v>
      </c>
    </row>
    <row r="61" spans="3:30" ht="12.75" customHeight="1">
      <c r="C61" s="36"/>
      <c r="D61" s="146" t="s">
        <v>108</v>
      </c>
      <c r="E61" s="137"/>
      <c r="F61" s="137"/>
      <c r="G61" s="137"/>
      <c r="H61" s="137"/>
      <c r="I61" s="137"/>
      <c r="J61" s="137"/>
      <c r="K61" s="137"/>
      <c r="L61" s="138"/>
      <c r="M61" s="138"/>
      <c r="N61" s="138"/>
      <c r="O61" s="138"/>
      <c r="P61" s="138"/>
      <c r="Q61" s="138"/>
      <c r="R61" s="138"/>
      <c r="S61" s="138"/>
      <c r="T61" s="138"/>
      <c r="U61" s="138"/>
      <c r="V61" s="137"/>
      <c r="W61" s="138"/>
      <c r="X61" s="138"/>
      <c r="Y61" s="138"/>
      <c r="Z61" s="138"/>
      <c r="AA61" s="138"/>
      <c r="AB61" s="138"/>
      <c r="AC61" s="138"/>
      <c r="AD61" s="138"/>
    </row>
    <row r="62" spans="3:30" ht="12.75" customHeight="1">
      <c r="C62" s="31">
        <v>3462</v>
      </c>
      <c r="D62" s="32" t="s">
        <v>91</v>
      </c>
      <c r="E62" s="196"/>
      <c r="F62" s="196"/>
      <c r="G62" s="196"/>
      <c r="H62" s="196"/>
      <c r="I62" s="33"/>
      <c r="J62" s="32">
        <f>ROUND(SUM(E62:H62),0)</f>
        <v>0</v>
      </c>
      <c r="K62" s="33"/>
      <c r="L62" s="20"/>
      <c r="M62" s="20"/>
      <c r="N62" s="20"/>
      <c r="O62" s="20"/>
      <c r="P62" s="196"/>
      <c r="Q62" s="196"/>
      <c r="R62" s="196"/>
      <c r="S62" s="20"/>
      <c r="T62" s="20"/>
      <c r="U62" s="20"/>
      <c r="V62" s="33"/>
      <c r="W62" s="20"/>
      <c r="X62" s="20"/>
      <c r="Y62" s="20"/>
      <c r="Z62" s="20"/>
      <c r="AA62" s="20"/>
      <c r="AB62" s="20"/>
      <c r="AC62" s="20"/>
      <c r="AD62" s="32">
        <f>ROUND(SUM(J62:AC62),0)</f>
        <v>0</v>
      </c>
    </row>
    <row r="63" spans="3:30" ht="12.75" customHeight="1">
      <c r="C63" s="31">
        <v>3463</v>
      </c>
      <c r="D63" s="32" t="s">
        <v>85</v>
      </c>
      <c r="E63" s="196"/>
      <c r="F63" s="196"/>
      <c r="G63" s="196"/>
      <c r="H63" s="196"/>
      <c r="I63" s="33"/>
      <c r="J63" s="32">
        <f>ROUND(SUM(E63:H63),0)</f>
        <v>0</v>
      </c>
      <c r="K63" s="33"/>
      <c r="L63" s="20"/>
      <c r="M63" s="20"/>
      <c r="N63" s="20"/>
      <c r="O63" s="20"/>
      <c r="P63" s="196"/>
      <c r="Q63" s="196"/>
      <c r="R63" s="196"/>
      <c r="S63" s="20"/>
      <c r="T63" s="20"/>
      <c r="U63" s="20"/>
      <c r="V63" s="33"/>
      <c r="W63" s="20"/>
      <c r="X63" s="20"/>
      <c r="Y63" s="20"/>
      <c r="Z63" s="20"/>
      <c r="AA63" s="20"/>
      <c r="AB63" s="20"/>
      <c r="AC63" s="20"/>
      <c r="AD63" s="32">
        <f>ROUND(SUM(J63:AC63),0)</f>
        <v>0</v>
      </c>
    </row>
    <row r="64" spans="3:30" ht="12.75" customHeight="1">
      <c r="C64" s="31">
        <v>3464</v>
      </c>
      <c r="D64" s="32" t="s">
        <v>86</v>
      </c>
      <c r="E64" s="196"/>
      <c r="F64" s="196"/>
      <c r="G64" s="196"/>
      <c r="H64" s="196"/>
      <c r="I64" s="33"/>
      <c r="J64" s="32">
        <f>ROUND(SUM(E64:H64),0)</f>
        <v>0</v>
      </c>
      <c r="K64" s="33"/>
      <c r="L64" s="20"/>
      <c r="M64" s="20"/>
      <c r="N64" s="20"/>
      <c r="O64" s="20"/>
      <c r="P64" s="196"/>
      <c r="Q64" s="196"/>
      <c r="R64" s="196"/>
      <c r="S64" s="20"/>
      <c r="T64" s="20"/>
      <c r="U64" s="20"/>
      <c r="V64" s="33"/>
      <c r="W64" s="20"/>
      <c r="X64" s="20"/>
      <c r="Y64" s="20">
        <v>275</v>
      </c>
      <c r="Z64" s="20"/>
      <c r="AA64" s="20"/>
      <c r="AB64" s="20"/>
      <c r="AC64" s="20"/>
      <c r="AD64" s="32">
        <f>ROUND(SUM(J64:AC64),0)</f>
        <v>275</v>
      </c>
    </row>
    <row r="65" spans="3:30" ht="12.75" customHeight="1">
      <c r="C65" s="31">
        <v>3465</v>
      </c>
      <c r="D65" s="38" t="s">
        <v>89</v>
      </c>
      <c r="E65" s="134">
        <f>ROUND(SUM(E62:E64),0)</f>
        <v>0</v>
      </c>
      <c r="F65" s="134">
        <f>ROUND(SUM(F62:F64),0)</f>
        <v>0</v>
      </c>
      <c r="G65" s="134">
        <f>ROUND(SUM(G62:G64),0)</f>
        <v>0</v>
      </c>
      <c r="H65" s="134">
        <f>ROUND(SUM(H62:H64),0)</f>
        <v>0</v>
      </c>
      <c r="I65" s="33"/>
      <c r="J65" s="32">
        <f>ROUND(SUM(E65:H65),0)</f>
        <v>0</v>
      </c>
      <c r="K65" s="33"/>
      <c r="L65" s="134">
        <f t="shared" ref="L65:AC65" si="20">ROUND(SUM(L62:L64),0)</f>
        <v>0</v>
      </c>
      <c r="M65" s="134">
        <f t="shared" si="20"/>
        <v>0</v>
      </c>
      <c r="N65" s="134">
        <f>ROUND(SUM(N62:N64),0)</f>
        <v>0</v>
      </c>
      <c r="O65" s="134">
        <f>ROUND(SUM(O62:O64),0)</f>
        <v>0</v>
      </c>
      <c r="P65" s="134">
        <f>ROUND(SUM(P62:P64),0)</f>
        <v>0</v>
      </c>
      <c r="Q65" s="134">
        <f>ROUND(SUM(Q62:Q64),0)</f>
        <v>0</v>
      </c>
      <c r="R65" s="134">
        <f>ROUND(SUM(R62:R64),0)</f>
        <v>0</v>
      </c>
      <c r="S65" s="134">
        <f t="shared" si="20"/>
        <v>0</v>
      </c>
      <c r="T65" s="134">
        <f t="shared" si="20"/>
        <v>0</v>
      </c>
      <c r="U65" s="134">
        <f t="shared" si="20"/>
        <v>0</v>
      </c>
      <c r="V65" s="33"/>
      <c r="W65" s="134">
        <f t="shared" si="20"/>
        <v>0</v>
      </c>
      <c r="X65" s="134">
        <f>ROUND(SUM(X62:X64),0)</f>
        <v>0</v>
      </c>
      <c r="Y65" s="134">
        <f t="shared" si="20"/>
        <v>275</v>
      </c>
      <c r="Z65" s="134">
        <f t="shared" si="20"/>
        <v>0</v>
      </c>
      <c r="AA65" s="134">
        <f t="shared" si="20"/>
        <v>0</v>
      </c>
      <c r="AB65" s="134">
        <f t="shared" si="20"/>
        <v>0</v>
      </c>
      <c r="AC65" s="134">
        <f t="shared" si="20"/>
        <v>0</v>
      </c>
      <c r="AD65" s="32">
        <f>ROUND(SUM(J65:AC65),0)</f>
        <v>275</v>
      </c>
    </row>
    <row r="66" spans="3:30" ht="12.75" customHeight="1">
      <c r="C66" s="36"/>
      <c r="D66" s="146" t="s">
        <v>109</v>
      </c>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row>
    <row r="67" spans="3:30" ht="12.75" customHeight="1">
      <c r="C67" s="147">
        <v>3467</v>
      </c>
      <c r="D67" s="136" t="s">
        <v>85</v>
      </c>
      <c r="E67" s="135"/>
      <c r="F67" s="135"/>
      <c r="G67" s="135"/>
      <c r="H67" s="135"/>
      <c r="I67" s="148"/>
      <c r="J67" s="136">
        <f>ROUND(SUM(E67:H67),0)</f>
        <v>0</v>
      </c>
      <c r="K67" s="148"/>
      <c r="L67" s="135"/>
      <c r="M67" s="135"/>
      <c r="N67" s="135"/>
      <c r="O67" s="20">
        <v>41069.78</v>
      </c>
      <c r="P67" s="196"/>
      <c r="Q67" s="196"/>
      <c r="R67" s="196"/>
      <c r="S67" s="135"/>
      <c r="T67" s="135"/>
      <c r="U67" s="135"/>
      <c r="V67" s="148"/>
      <c r="W67" s="135"/>
      <c r="X67" s="135"/>
      <c r="Y67" s="135"/>
      <c r="Z67" s="135"/>
      <c r="AA67" s="135"/>
      <c r="AB67" s="135"/>
      <c r="AC67" s="135"/>
      <c r="AD67" s="136">
        <f>ROUND(SUM(J67:AC67),0)</f>
        <v>41070</v>
      </c>
    </row>
    <row r="68" spans="3:30" ht="12.75" customHeight="1">
      <c r="C68" s="31">
        <v>3468</v>
      </c>
      <c r="D68" s="32" t="s">
        <v>86</v>
      </c>
      <c r="E68" s="135">
        <v>119774.99</v>
      </c>
      <c r="F68" s="135">
        <v>60145.08</v>
      </c>
      <c r="G68" s="135"/>
      <c r="H68" s="135"/>
      <c r="I68" s="33"/>
      <c r="J68" s="32">
        <f>ROUND(SUM(E68:H68),0)</f>
        <v>179920</v>
      </c>
      <c r="K68" s="33"/>
      <c r="L68" s="135"/>
      <c r="M68" s="135"/>
      <c r="N68" s="135"/>
      <c r="O68" s="135"/>
      <c r="P68" s="196"/>
      <c r="Q68" s="196"/>
      <c r="R68" s="196"/>
      <c r="S68" s="135"/>
      <c r="T68" s="135"/>
      <c r="U68" s="135"/>
      <c r="V68" s="33"/>
      <c r="W68" s="135"/>
      <c r="X68" s="135"/>
      <c r="Y68" s="135"/>
      <c r="Z68" s="135"/>
      <c r="AA68" s="135"/>
      <c r="AB68" s="135"/>
      <c r="AC68" s="135"/>
      <c r="AD68" s="32">
        <f>ROUND(SUM(J68:AC68),0)</f>
        <v>179920</v>
      </c>
    </row>
    <row r="69" spans="3:30" ht="12.75" customHeight="1">
      <c r="C69" s="31">
        <v>3469</v>
      </c>
      <c r="D69" s="34" t="s">
        <v>89</v>
      </c>
      <c r="E69" s="32">
        <f>ROUND(SUM(E67:E68),0)</f>
        <v>119775</v>
      </c>
      <c r="F69" s="32">
        <f>ROUND(SUM(F67:F68),0)</f>
        <v>60145</v>
      </c>
      <c r="G69" s="32">
        <f>ROUND(SUM(G67:G68),0)</f>
        <v>0</v>
      </c>
      <c r="H69" s="32">
        <f>ROUND(SUM(H67:H68),0)</f>
        <v>0</v>
      </c>
      <c r="I69" s="33"/>
      <c r="J69" s="32">
        <f>ROUND(SUM(E69:H69),0)</f>
        <v>179920</v>
      </c>
      <c r="K69" s="33"/>
      <c r="L69" s="32">
        <f t="shared" ref="L69:R69" si="21">ROUND(SUM(L67:L68),0)</f>
        <v>0</v>
      </c>
      <c r="M69" s="32">
        <f t="shared" si="21"/>
        <v>0</v>
      </c>
      <c r="N69" s="32">
        <f t="shared" si="21"/>
        <v>0</v>
      </c>
      <c r="O69" s="32">
        <f>ROUND(SUM(O67:O68),0)</f>
        <v>41070</v>
      </c>
      <c r="P69" s="32">
        <f t="shared" si="21"/>
        <v>0</v>
      </c>
      <c r="Q69" s="32">
        <f t="shared" si="21"/>
        <v>0</v>
      </c>
      <c r="R69" s="32">
        <f t="shared" si="21"/>
        <v>0</v>
      </c>
      <c r="S69" s="32">
        <f t="shared" ref="S69:AC69" si="22">ROUND(SUM(S67:S68),0)</f>
        <v>0</v>
      </c>
      <c r="T69" s="32">
        <f t="shared" si="22"/>
        <v>0</v>
      </c>
      <c r="U69" s="32">
        <f t="shared" si="22"/>
        <v>0</v>
      </c>
      <c r="V69" s="33"/>
      <c r="W69" s="32">
        <f t="shared" si="22"/>
        <v>0</v>
      </c>
      <c r="X69" s="32">
        <f>ROUND(SUM(X67:X68),0)</f>
        <v>0</v>
      </c>
      <c r="Y69" s="32">
        <f t="shared" si="22"/>
        <v>0</v>
      </c>
      <c r="Z69" s="32">
        <f t="shared" si="22"/>
        <v>0</v>
      </c>
      <c r="AA69" s="32">
        <f t="shared" si="22"/>
        <v>0</v>
      </c>
      <c r="AB69" s="32">
        <f t="shared" si="22"/>
        <v>0</v>
      </c>
      <c r="AC69" s="32">
        <f t="shared" si="22"/>
        <v>0</v>
      </c>
      <c r="AD69" s="32">
        <f>ROUND(SUM(J69:AC69),0)</f>
        <v>220990</v>
      </c>
    </row>
    <row r="70" spans="3:30" ht="12.75" customHeight="1">
      <c r="C70" s="35"/>
      <c r="D70" s="120" t="s">
        <v>110</v>
      </c>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row>
    <row r="71" spans="3:30" ht="12.75" customHeight="1">
      <c r="C71" s="31">
        <v>3473</v>
      </c>
      <c r="D71" s="32" t="s">
        <v>85</v>
      </c>
      <c r="E71" s="20">
        <v>96135.11</v>
      </c>
      <c r="F71" s="20">
        <v>1038772</v>
      </c>
      <c r="G71" s="20"/>
      <c r="H71" s="20"/>
      <c r="I71" s="33"/>
      <c r="J71" s="32">
        <f>ROUND(SUM(E71:H71),0)</f>
        <v>1134907</v>
      </c>
      <c r="K71" s="33"/>
      <c r="L71" s="20"/>
      <c r="M71" s="20">
        <v>511113</v>
      </c>
      <c r="N71" s="20"/>
      <c r="O71" s="20"/>
      <c r="P71" s="196">
        <v>79612.75</v>
      </c>
      <c r="Q71" s="196"/>
      <c r="R71" s="196"/>
      <c r="S71" s="20"/>
      <c r="T71" s="20"/>
      <c r="U71" s="20">
        <v>224705</v>
      </c>
      <c r="V71" s="33"/>
      <c r="W71" s="20">
        <v>3075</v>
      </c>
      <c r="X71" s="20"/>
      <c r="Y71" s="20"/>
      <c r="Z71" s="20"/>
      <c r="AA71" s="20"/>
      <c r="AB71" s="20"/>
      <c r="AC71" s="20"/>
      <c r="AD71" s="32">
        <f>ROUND(SUM(J71:AC71),0)</f>
        <v>1953413</v>
      </c>
    </row>
    <row r="72" spans="3:30" ht="12.75" customHeight="1">
      <c r="C72" s="31">
        <v>3474</v>
      </c>
      <c r="D72" s="32" t="s">
        <v>86</v>
      </c>
      <c r="E72" s="20"/>
      <c r="F72" s="20"/>
      <c r="G72" s="20"/>
      <c r="H72" s="20"/>
      <c r="I72" s="33"/>
      <c r="J72" s="32">
        <f>ROUND(SUM(E72:H72),0)</f>
        <v>0</v>
      </c>
      <c r="K72" s="33"/>
      <c r="L72" s="20"/>
      <c r="M72" s="30"/>
      <c r="N72" s="20"/>
      <c r="O72" s="20"/>
      <c r="P72" s="196"/>
      <c r="Q72" s="196"/>
      <c r="R72" s="196"/>
      <c r="S72" s="20"/>
      <c r="T72" s="20"/>
      <c r="U72" s="20">
        <v>14252</v>
      </c>
      <c r="V72" s="33"/>
      <c r="W72" s="20"/>
      <c r="X72" s="20"/>
      <c r="Y72" s="20"/>
      <c r="Z72" s="20"/>
      <c r="AA72" s="20"/>
      <c r="AB72" s="20"/>
      <c r="AC72" s="20"/>
      <c r="AD72" s="32">
        <f>ROUND(SUM(J72:AC72),0)</f>
        <v>14252</v>
      </c>
    </row>
    <row r="73" spans="3:30" ht="12.75" customHeight="1">
      <c r="C73" s="31">
        <v>3475</v>
      </c>
      <c r="D73" s="34" t="s">
        <v>89</v>
      </c>
      <c r="E73" s="32">
        <f>ROUND(SUM(E71:E72),0)</f>
        <v>96135</v>
      </c>
      <c r="F73" s="32">
        <f>ROUND(SUM(F71:F72),0)</f>
        <v>1038772</v>
      </c>
      <c r="G73" s="32">
        <f>ROUND(SUM(G71:G72),0)</f>
        <v>0</v>
      </c>
      <c r="H73" s="32">
        <f>ROUND(SUM(H71:H72),0)</f>
        <v>0</v>
      </c>
      <c r="I73" s="33"/>
      <c r="J73" s="32">
        <f>ROUND(SUM(E73:H73),0)</f>
        <v>1134907</v>
      </c>
      <c r="K73" s="33"/>
      <c r="L73" s="32">
        <f t="shared" ref="L73:R73" si="23">ROUND(SUM(L71:L72),0)</f>
        <v>0</v>
      </c>
      <c r="M73" s="32">
        <v>511113</v>
      </c>
      <c r="N73" s="32">
        <f t="shared" si="23"/>
        <v>0</v>
      </c>
      <c r="O73" s="32">
        <f t="shared" si="23"/>
        <v>0</v>
      </c>
      <c r="P73" s="32">
        <f t="shared" si="23"/>
        <v>79613</v>
      </c>
      <c r="Q73" s="32">
        <f t="shared" si="23"/>
        <v>0</v>
      </c>
      <c r="R73" s="32">
        <f t="shared" si="23"/>
        <v>0</v>
      </c>
      <c r="S73" s="32">
        <f t="shared" ref="S73:AC73" si="24">ROUND(SUM(S71:S72),0)</f>
        <v>0</v>
      </c>
      <c r="T73" s="32">
        <f t="shared" si="24"/>
        <v>0</v>
      </c>
      <c r="U73" s="32">
        <f t="shared" si="24"/>
        <v>238957</v>
      </c>
      <c r="V73" s="33"/>
      <c r="W73" s="32">
        <f t="shared" si="24"/>
        <v>3075</v>
      </c>
      <c r="X73" s="32">
        <f>ROUND(SUM(X71:X72),0)</f>
        <v>0</v>
      </c>
      <c r="Y73" s="32">
        <f t="shared" si="24"/>
        <v>0</v>
      </c>
      <c r="Z73" s="32">
        <f t="shared" si="24"/>
        <v>0</v>
      </c>
      <c r="AA73" s="32">
        <f t="shared" si="24"/>
        <v>0</v>
      </c>
      <c r="AB73" s="32">
        <f t="shared" si="24"/>
        <v>0</v>
      </c>
      <c r="AC73" s="32">
        <f t="shared" si="24"/>
        <v>0</v>
      </c>
      <c r="AD73" s="32">
        <f>ROUND(SUM(J73:AC73),0)</f>
        <v>1967665</v>
      </c>
    </row>
    <row r="74" spans="3:30" ht="12.75" customHeight="1">
      <c r="C74" s="35"/>
      <c r="D74" s="120" t="s">
        <v>111</v>
      </c>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row>
    <row r="75" spans="3:30" ht="12.75" customHeight="1">
      <c r="C75" s="31">
        <v>3476</v>
      </c>
      <c r="D75" s="32" t="s">
        <v>91</v>
      </c>
      <c r="E75" s="33"/>
      <c r="F75" s="33"/>
      <c r="G75" s="33"/>
      <c r="H75" s="33"/>
      <c r="I75" s="20">
        <v>191490</v>
      </c>
      <c r="J75" s="32">
        <f>ROUND(I75,0)</f>
        <v>191490</v>
      </c>
      <c r="K75" s="20"/>
      <c r="L75" s="20"/>
      <c r="M75" s="20"/>
      <c r="N75" s="20"/>
      <c r="O75" s="20"/>
      <c r="P75" s="196"/>
      <c r="Q75" s="196"/>
      <c r="R75" s="196"/>
      <c r="S75" s="20"/>
      <c r="T75" s="20"/>
      <c r="U75" s="20"/>
      <c r="V75" s="33"/>
      <c r="W75" s="20"/>
      <c r="X75" s="20"/>
      <c r="Y75" s="20"/>
      <c r="Z75" s="20"/>
      <c r="AA75" s="20"/>
      <c r="AB75" s="20"/>
      <c r="AC75" s="20"/>
      <c r="AD75" s="32">
        <f>ROUND(SUM(J75:AC75),0)</f>
        <v>191490</v>
      </c>
    </row>
    <row r="76" spans="3:30" ht="12.75" customHeight="1">
      <c r="C76" s="31">
        <v>3477</v>
      </c>
      <c r="D76" s="32" t="s">
        <v>84</v>
      </c>
      <c r="E76" s="33"/>
      <c r="F76" s="33"/>
      <c r="G76" s="33"/>
      <c r="H76" s="33"/>
      <c r="I76" s="20"/>
      <c r="J76" s="32">
        <f>ROUND(I76,0)</f>
        <v>0</v>
      </c>
      <c r="K76" s="20"/>
      <c r="L76" s="20"/>
      <c r="M76" s="20"/>
      <c r="N76" s="20"/>
      <c r="O76" s="20"/>
      <c r="P76" s="196"/>
      <c r="Q76" s="196"/>
      <c r="R76" s="196"/>
      <c r="S76" s="20"/>
      <c r="T76" s="20"/>
      <c r="U76" s="20"/>
      <c r="V76" s="33"/>
      <c r="W76" s="20"/>
      <c r="X76" s="20"/>
      <c r="Y76" s="20"/>
      <c r="Z76" s="20"/>
      <c r="AA76" s="20"/>
      <c r="AB76" s="20"/>
      <c r="AC76" s="20"/>
      <c r="AD76" s="32">
        <f>ROUND(SUM(J76:AC76),0)</f>
        <v>0</v>
      </c>
    </row>
    <row r="77" spans="3:30" ht="12.75" customHeight="1">
      <c r="C77" s="31">
        <v>3478</v>
      </c>
      <c r="D77" s="32" t="s">
        <v>85</v>
      </c>
      <c r="E77" s="33"/>
      <c r="F77" s="33"/>
      <c r="G77" s="33"/>
      <c r="H77" s="33"/>
      <c r="I77" s="20"/>
      <c r="J77" s="32">
        <f>ROUND(I77,0)</f>
        <v>0</v>
      </c>
      <c r="K77" s="20"/>
      <c r="L77" s="20"/>
      <c r="M77" s="20"/>
      <c r="N77" s="20"/>
      <c r="O77" s="20"/>
      <c r="P77" s="196"/>
      <c r="Q77" s="196"/>
      <c r="R77" s="196"/>
      <c r="S77" s="20"/>
      <c r="T77" s="20"/>
      <c r="U77" s="20"/>
      <c r="V77" s="33"/>
      <c r="W77" s="20"/>
      <c r="X77" s="20"/>
      <c r="Y77" s="20"/>
      <c r="Z77" s="20"/>
      <c r="AA77" s="20"/>
      <c r="AB77" s="20"/>
      <c r="AC77" s="20"/>
      <c r="AD77" s="32">
        <f>ROUND(SUM(J77:AC77),0)</f>
        <v>0</v>
      </c>
    </row>
    <row r="78" spans="3:30" ht="12.75" customHeight="1">
      <c r="C78" s="31">
        <v>3479</v>
      </c>
      <c r="D78" s="34" t="s">
        <v>89</v>
      </c>
      <c r="E78" s="33"/>
      <c r="F78" s="33"/>
      <c r="G78" s="33"/>
      <c r="H78" s="33"/>
      <c r="I78" s="32">
        <f>ROUND(SUM(I75:I77),0)</f>
        <v>191490</v>
      </c>
      <c r="J78" s="32">
        <f>ROUND(I78,0)</f>
        <v>191490</v>
      </c>
      <c r="K78" s="32">
        <f t="shared" ref="K78:AC78" si="25">ROUND(SUM(K75:K77),0)</f>
        <v>0</v>
      </c>
      <c r="L78" s="32">
        <f t="shared" ref="L78:R78" si="26">ROUND(SUM(L75:L77),0)</f>
        <v>0</v>
      </c>
      <c r="M78" s="32">
        <f t="shared" si="26"/>
        <v>0</v>
      </c>
      <c r="N78" s="32">
        <f t="shared" si="26"/>
        <v>0</v>
      </c>
      <c r="O78" s="32">
        <f t="shared" si="26"/>
        <v>0</v>
      </c>
      <c r="P78" s="32">
        <f t="shared" si="26"/>
        <v>0</v>
      </c>
      <c r="Q78" s="32">
        <f t="shared" si="26"/>
        <v>0</v>
      </c>
      <c r="R78" s="32">
        <f t="shared" si="26"/>
        <v>0</v>
      </c>
      <c r="S78" s="32">
        <f t="shared" si="25"/>
        <v>0</v>
      </c>
      <c r="T78" s="32">
        <f t="shared" si="25"/>
        <v>0</v>
      </c>
      <c r="U78" s="32">
        <f t="shared" si="25"/>
        <v>0</v>
      </c>
      <c r="V78" s="33"/>
      <c r="W78" s="32">
        <f t="shared" si="25"/>
        <v>0</v>
      </c>
      <c r="X78" s="32">
        <f>ROUND(SUM(X75:X77),0)</f>
        <v>0</v>
      </c>
      <c r="Y78" s="32">
        <f t="shared" si="25"/>
        <v>0</v>
      </c>
      <c r="Z78" s="32">
        <f t="shared" si="25"/>
        <v>0</v>
      </c>
      <c r="AA78" s="32">
        <f t="shared" si="25"/>
        <v>0</v>
      </c>
      <c r="AB78" s="32">
        <f t="shared" si="25"/>
        <v>0</v>
      </c>
      <c r="AC78" s="32">
        <f t="shared" si="25"/>
        <v>0</v>
      </c>
      <c r="AD78" s="32">
        <f>ROUND(SUM(J78:AC78),0)</f>
        <v>191490</v>
      </c>
    </row>
    <row r="79" spans="3:30" ht="12.75" customHeight="1">
      <c r="C79" s="35"/>
      <c r="D79" s="120" t="s">
        <v>112</v>
      </c>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row>
    <row r="80" spans="3:30" ht="12.75" customHeight="1">
      <c r="C80" s="31">
        <v>3481</v>
      </c>
      <c r="D80" s="32" t="s">
        <v>86</v>
      </c>
      <c r="E80" s="20"/>
      <c r="F80" s="20"/>
      <c r="G80" s="20"/>
      <c r="H80" s="20"/>
      <c r="I80" s="33"/>
      <c r="J80" s="32">
        <f>ROUND(SUM(E80:H80),0)</f>
        <v>0</v>
      </c>
      <c r="K80" s="33"/>
      <c r="L80" s="20"/>
      <c r="M80" s="20"/>
      <c r="N80" s="20"/>
      <c r="O80" s="20"/>
      <c r="P80" s="196"/>
      <c r="Q80" s="196"/>
      <c r="R80" s="196"/>
      <c r="S80" s="20"/>
      <c r="T80" s="20"/>
      <c r="U80" s="20"/>
      <c r="V80" s="33"/>
      <c r="W80" s="20"/>
      <c r="X80" s="20"/>
      <c r="Y80" s="20"/>
      <c r="Z80" s="20"/>
      <c r="AA80" s="20"/>
      <c r="AB80" s="20"/>
      <c r="AC80" s="20"/>
      <c r="AD80" s="32">
        <f>ROUND(SUM(J80:AC80),0)</f>
        <v>0</v>
      </c>
    </row>
    <row r="81" spans="3:30" ht="12.75" customHeight="1">
      <c r="C81" s="31">
        <v>3482</v>
      </c>
      <c r="D81" s="32" t="s">
        <v>87</v>
      </c>
      <c r="E81" s="20"/>
      <c r="F81" s="20"/>
      <c r="G81" s="20"/>
      <c r="H81" s="20"/>
      <c r="I81" s="33"/>
      <c r="J81" s="32">
        <f>ROUND(SUM(E81:H81),0)</f>
        <v>0</v>
      </c>
      <c r="K81" s="33"/>
      <c r="L81" s="20"/>
      <c r="M81" s="20"/>
      <c r="N81" s="20"/>
      <c r="O81" s="20"/>
      <c r="P81" s="196"/>
      <c r="Q81" s="196"/>
      <c r="R81" s="196"/>
      <c r="S81" s="20"/>
      <c r="T81" s="20"/>
      <c r="U81" s="20"/>
      <c r="V81" s="33"/>
      <c r="W81" s="20"/>
      <c r="X81" s="20"/>
      <c r="Y81" s="20"/>
      <c r="Z81" s="20"/>
      <c r="AA81" s="20"/>
      <c r="AB81" s="20"/>
      <c r="AC81" s="20"/>
      <c r="AD81" s="32">
        <f>ROUND(SUM(J81:AC81),0)</f>
        <v>0</v>
      </c>
    </row>
    <row r="82" spans="3:30" ht="12.75" customHeight="1">
      <c r="C82" s="31">
        <v>3485</v>
      </c>
      <c r="D82" s="32" t="s">
        <v>88</v>
      </c>
      <c r="E82" s="20"/>
      <c r="F82" s="20"/>
      <c r="G82" s="20"/>
      <c r="H82" s="20"/>
      <c r="I82" s="33"/>
      <c r="J82" s="32">
        <f>ROUND(SUM(E82:H82),0)</f>
        <v>0</v>
      </c>
      <c r="K82" s="33"/>
      <c r="L82" s="20"/>
      <c r="M82" s="20"/>
      <c r="N82" s="20"/>
      <c r="O82" s="20"/>
      <c r="P82" s="196"/>
      <c r="Q82" s="196"/>
      <c r="R82" s="196"/>
      <c r="S82" s="20"/>
      <c r="T82" s="20"/>
      <c r="U82" s="20"/>
      <c r="V82" s="33"/>
      <c r="W82" s="20"/>
      <c r="X82" s="20"/>
      <c r="Y82" s="20"/>
      <c r="Z82" s="20"/>
      <c r="AA82" s="20"/>
      <c r="AB82" s="20"/>
      <c r="AC82" s="20"/>
      <c r="AD82" s="32">
        <f>ROUND(SUM(J82:AC82),0)</f>
        <v>0</v>
      </c>
    </row>
    <row r="83" spans="3:30" ht="12.75" customHeight="1">
      <c r="C83" s="31">
        <v>3486</v>
      </c>
      <c r="D83" s="34" t="s">
        <v>89</v>
      </c>
      <c r="E83" s="32">
        <f>ROUND(SUM(E80:E82),0)</f>
        <v>0</v>
      </c>
      <c r="F83" s="32">
        <f>ROUND(SUM(F80:F82),0)</f>
        <v>0</v>
      </c>
      <c r="G83" s="32">
        <f>ROUND(SUM(G80:G82),0)</f>
        <v>0</v>
      </c>
      <c r="H83" s="32">
        <f>ROUND(SUM(H80:H82),0)</f>
        <v>0</v>
      </c>
      <c r="I83" s="33"/>
      <c r="J83" s="32">
        <f>ROUND(SUM(E83:H83),0)</f>
        <v>0</v>
      </c>
      <c r="K83" s="33"/>
      <c r="L83" s="32">
        <f>ROUND(SUM(L80:L82),0)</f>
        <v>0</v>
      </c>
      <c r="M83" s="32">
        <f t="shared" ref="M83:AB83" si="27">ROUND(SUM(M80:M82),0)</f>
        <v>0</v>
      </c>
      <c r="N83" s="32">
        <f>ROUND(SUM(N80:N82),0)</f>
        <v>0</v>
      </c>
      <c r="O83" s="32">
        <f>ROUND(SUM(O80:O82),0)</f>
        <v>0</v>
      </c>
      <c r="P83" s="32">
        <f>ROUND(SUM(P80:P82),0)</f>
        <v>0</v>
      </c>
      <c r="Q83" s="32">
        <f>ROUND(SUM(Q80:Q82),0)</f>
        <v>0</v>
      </c>
      <c r="R83" s="32">
        <f>ROUND(SUM(R80:R82),0)</f>
        <v>0</v>
      </c>
      <c r="S83" s="32">
        <f t="shared" si="27"/>
        <v>0</v>
      </c>
      <c r="T83" s="32">
        <f t="shared" si="27"/>
        <v>0</v>
      </c>
      <c r="U83" s="32">
        <f t="shared" si="27"/>
        <v>0</v>
      </c>
      <c r="V83" s="33"/>
      <c r="W83" s="32">
        <f t="shared" si="27"/>
        <v>0</v>
      </c>
      <c r="X83" s="32">
        <f>ROUND(SUM(X80:X82),0)</f>
        <v>0</v>
      </c>
      <c r="Y83" s="32">
        <f t="shared" si="27"/>
        <v>0</v>
      </c>
      <c r="Z83" s="32">
        <f t="shared" si="27"/>
        <v>0</v>
      </c>
      <c r="AA83" s="32">
        <f t="shared" si="27"/>
        <v>0</v>
      </c>
      <c r="AB83" s="32">
        <f t="shared" si="27"/>
        <v>0</v>
      </c>
      <c r="AC83" s="32">
        <f>ROUND(SUM(AC80:AC82),0)</f>
        <v>0</v>
      </c>
      <c r="AD83" s="32">
        <f>ROUND(SUM(J83:AC83),0)</f>
        <v>0</v>
      </c>
    </row>
    <row r="84" spans="3:30" ht="12.75" customHeight="1">
      <c r="C84" s="35"/>
      <c r="D84" s="120" t="s">
        <v>113</v>
      </c>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row>
    <row r="85" spans="3:30" ht="12.75" customHeight="1">
      <c r="C85" s="31">
        <v>3487</v>
      </c>
      <c r="D85" s="32" t="s">
        <v>91</v>
      </c>
      <c r="E85" s="33"/>
      <c r="F85" s="33"/>
      <c r="G85" s="33"/>
      <c r="H85" s="33"/>
      <c r="I85" s="20"/>
      <c r="J85" s="32">
        <f t="shared" ref="J85:J91" si="28">ROUND(I85,0)</f>
        <v>0</v>
      </c>
      <c r="K85" s="33"/>
      <c r="L85" s="20"/>
      <c r="M85" s="20"/>
      <c r="N85" s="20"/>
      <c r="O85" s="20"/>
      <c r="P85" s="196"/>
      <c r="Q85" s="196"/>
      <c r="R85" s="196"/>
      <c r="S85" s="20"/>
      <c r="T85" s="20"/>
      <c r="U85" s="20"/>
      <c r="V85" s="33"/>
      <c r="W85" s="20"/>
      <c r="X85" s="20"/>
      <c r="Y85" s="20"/>
      <c r="Z85" s="20"/>
      <c r="AA85" s="20"/>
      <c r="AB85" s="20"/>
      <c r="AC85" s="20"/>
      <c r="AD85" s="32">
        <f t="shared" ref="AD85:AD91" si="29">ROUND(SUM(J85:AC85),0)</f>
        <v>0</v>
      </c>
    </row>
    <row r="86" spans="3:30" ht="12.75" customHeight="1">
      <c r="C86" s="31">
        <v>3488</v>
      </c>
      <c r="D86" s="32" t="s">
        <v>84</v>
      </c>
      <c r="E86" s="33"/>
      <c r="F86" s="33"/>
      <c r="G86" s="33"/>
      <c r="H86" s="33"/>
      <c r="I86" s="20"/>
      <c r="J86" s="32">
        <f t="shared" si="28"/>
        <v>0</v>
      </c>
      <c r="K86" s="33"/>
      <c r="L86" s="20"/>
      <c r="M86" s="20"/>
      <c r="N86" s="20"/>
      <c r="O86" s="20"/>
      <c r="P86" s="196"/>
      <c r="Q86" s="196"/>
      <c r="R86" s="196"/>
      <c r="S86" s="20"/>
      <c r="T86" s="20"/>
      <c r="U86" s="20"/>
      <c r="V86" s="33"/>
      <c r="W86" s="20"/>
      <c r="X86" s="20"/>
      <c r="Y86" s="20"/>
      <c r="Z86" s="20"/>
      <c r="AA86" s="20"/>
      <c r="AB86" s="20"/>
      <c r="AC86" s="20"/>
      <c r="AD86" s="32">
        <f t="shared" si="29"/>
        <v>0</v>
      </c>
    </row>
    <row r="87" spans="3:30" ht="12.75" customHeight="1">
      <c r="C87" s="31">
        <v>3489</v>
      </c>
      <c r="D87" s="32" t="s">
        <v>85</v>
      </c>
      <c r="E87" s="33"/>
      <c r="F87" s="33"/>
      <c r="G87" s="33"/>
      <c r="H87" s="33"/>
      <c r="I87" s="20"/>
      <c r="J87" s="32">
        <f t="shared" si="28"/>
        <v>0</v>
      </c>
      <c r="K87" s="33"/>
      <c r="L87" s="20"/>
      <c r="M87" s="20"/>
      <c r="N87" s="20"/>
      <c r="O87" s="20"/>
      <c r="P87" s="196"/>
      <c r="Q87" s="196"/>
      <c r="R87" s="196"/>
      <c r="S87" s="20"/>
      <c r="T87" s="20"/>
      <c r="U87" s="20"/>
      <c r="V87" s="33"/>
      <c r="W87" s="20"/>
      <c r="X87" s="20"/>
      <c r="Y87" s="20"/>
      <c r="Z87" s="20"/>
      <c r="AA87" s="20"/>
      <c r="AB87" s="20"/>
      <c r="AC87" s="20"/>
      <c r="AD87" s="32">
        <f t="shared" si="29"/>
        <v>0</v>
      </c>
    </row>
    <row r="88" spans="3:30" ht="12.75" customHeight="1">
      <c r="C88" s="31">
        <v>3490</v>
      </c>
      <c r="D88" s="32" t="s">
        <v>86</v>
      </c>
      <c r="E88" s="33"/>
      <c r="F88" s="33"/>
      <c r="G88" s="33"/>
      <c r="H88" s="33"/>
      <c r="I88" s="20"/>
      <c r="J88" s="32">
        <f t="shared" si="28"/>
        <v>0</v>
      </c>
      <c r="K88" s="33"/>
      <c r="L88" s="20"/>
      <c r="M88" s="20"/>
      <c r="N88" s="20"/>
      <c r="O88" s="20"/>
      <c r="P88" s="196"/>
      <c r="Q88" s="196"/>
      <c r="R88" s="196"/>
      <c r="S88" s="20"/>
      <c r="T88" s="20"/>
      <c r="U88" s="20"/>
      <c r="V88" s="33"/>
      <c r="W88" s="20"/>
      <c r="X88" s="20"/>
      <c r="Y88" s="20"/>
      <c r="Z88" s="20"/>
      <c r="AA88" s="20"/>
      <c r="AB88" s="20"/>
      <c r="AC88" s="20"/>
      <c r="AD88" s="32">
        <f t="shared" si="29"/>
        <v>0</v>
      </c>
    </row>
    <row r="89" spans="3:30" ht="12.75" customHeight="1">
      <c r="C89" s="31">
        <v>3491</v>
      </c>
      <c r="D89" s="32" t="s">
        <v>87</v>
      </c>
      <c r="E89" s="33"/>
      <c r="F89" s="33"/>
      <c r="G89" s="33"/>
      <c r="H89" s="33"/>
      <c r="I89" s="20"/>
      <c r="J89" s="32">
        <f t="shared" si="28"/>
        <v>0</v>
      </c>
      <c r="K89" s="33"/>
      <c r="L89" s="20"/>
      <c r="M89" s="20"/>
      <c r="N89" s="20"/>
      <c r="O89" s="20"/>
      <c r="P89" s="196"/>
      <c r="Q89" s="196"/>
      <c r="R89" s="196"/>
      <c r="S89" s="20"/>
      <c r="T89" s="20"/>
      <c r="U89" s="20"/>
      <c r="V89" s="33"/>
      <c r="W89" s="20"/>
      <c r="X89" s="20"/>
      <c r="Y89" s="20"/>
      <c r="Z89" s="20"/>
      <c r="AA89" s="20"/>
      <c r="AB89" s="20"/>
      <c r="AC89" s="20"/>
      <c r="AD89" s="32">
        <f t="shared" si="29"/>
        <v>0</v>
      </c>
    </row>
    <row r="90" spans="3:30" ht="12.75" customHeight="1">
      <c r="C90" s="31">
        <v>3492</v>
      </c>
      <c r="D90" s="32" t="s">
        <v>88</v>
      </c>
      <c r="E90" s="33"/>
      <c r="F90" s="33"/>
      <c r="G90" s="33"/>
      <c r="H90" s="33"/>
      <c r="I90" s="20"/>
      <c r="J90" s="32">
        <f t="shared" si="28"/>
        <v>0</v>
      </c>
      <c r="K90" s="33"/>
      <c r="L90" s="20"/>
      <c r="M90" s="20"/>
      <c r="N90" s="20"/>
      <c r="O90" s="20"/>
      <c r="P90" s="196"/>
      <c r="Q90" s="196"/>
      <c r="R90" s="196"/>
      <c r="S90" s="20"/>
      <c r="T90" s="20"/>
      <c r="U90" s="20"/>
      <c r="V90" s="33"/>
      <c r="W90" s="20"/>
      <c r="X90" s="20"/>
      <c r="Y90" s="20"/>
      <c r="Z90" s="20"/>
      <c r="AA90" s="20"/>
      <c r="AB90" s="20"/>
      <c r="AC90" s="20"/>
      <c r="AD90" s="32">
        <f t="shared" si="29"/>
        <v>0</v>
      </c>
    </row>
    <row r="91" spans="3:30" ht="12.75" customHeight="1">
      <c r="C91" s="31">
        <v>3493</v>
      </c>
      <c r="D91" s="34" t="s">
        <v>89</v>
      </c>
      <c r="E91" s="33"/>
      <c r="F91" s="33"/>
      <c r="G91" s="33"/>
      <c r="H91" s="33"/>
      <c r="I91" s="32">
        <f>ROUND(SUM(I85:I90),0)</f>
        <v>0</v>
      </c>
      <c r="J91" s="32">
        <f t="shared" si="28"/>
        <v>0</v>
      </c>
      <c r="K91" s="33"/>
      <c r="L91" s="32">
        <f t="shared" ref="L91:T91" si="30">ROUND(SUM(L85:L90),0)</f>
        <v>0</v>
      </c>
      <c r="M91" s="32">
        <f t="shared" si="30"/>
        <v>0</v>
      </c>
      <c r="N91" s="32">
        <f t="shared" si="30"/>
        <v>0</v>
      </c>
      <c r="O91" s="32">
        <f t="shared" si="30"/>
        <v>0</v>
      </c>
      <c r="P91" s="32">
        <f t="shared" si="30"/>
        <v>0</v>
      </c>
      <c r="Q91" s="32">
        <f>ROUND(SUM(Q85:Q90),0)</f>
        <v>0</v>
      </c>
      <c r="R91" s="32">
        <f>ROUND(SUM(R85:R90),0)</f>
        <v>0</v>
      </c>
      <c r="S91" s="32">
        <f t="shared" si="30"/>
        <v>0</v>
      </c>
      <c r="T91" s="32">
        <f t="shared" si="30"/>
        <v>0</v>
      </c>
      <c r="U91" s="32">
        <f t="shared" ref="U91:AC91" si="31">ROUND(SUM(U85:U90),0)</f>
        <v>0</v>
      </c>
      <c r="V91" s="33"/>
      <c r="W91" s="32">
        <f t="shared" si="31"/>
        <v>0</v>
      </c>
      <c r="X91" s="32">
        <f>ROUND(SUM(X85:X90),0)</f>
        <v>0</v>
      </c>
      <c r="Y91" s="32">
        <f t="shared" si="31"/>
        <v>0</v>
      </c>
      <c r="Z91" s="32">
        <f t="shared" si="31"/>
        <v>0</v>
      </c>
      <c r="AA91" s="32">
        <f t="shared" si="31"/>
        <v>0</v>
      </c>
      <c r="AB91" s="32">
        <f t="shared" si="31"/>
        <v>0</v>
      </c>
      <c r="AC91" s="32">
        <f t="shared" si="31"/>
        <v>0</v>
      </c>
      <c r="AD91" s="32">
        <f t="shared" si="29"/>
        <v>0</v>
      </c>
    </row>
    <row r="92" spans="3:30" ht="12.75" customHeight="1">
      <c r="C92" s="35"/>
      <c r="D92" s="120" t="s">
        <v>114</v>
      </c>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row>
    <row r="93" spans="3:30" ht="12.75" customHeight="1">
      <c r="C93" s="31">
        <v>3494</v>
      </c>
      <c r="D93" s="32" t="s">
        <v>91</v>
      </c>
      <c r="E93" s="20"/>
      <c r="F93" s="20"/>
      <c r="G93" s="20"/>
      <c r="H93" s="20"/>
      <c r="I93" s="33"/>
      <c r="J93" s="32">
        <f>ROUND(SUM(E93:H93),0)</f>
        <v>0</v>
      </c>
      <c r="K93" s="33"/>
      <c r="L93" s="20"/>
      <c r="M93" s="20"/>
      <c r="N93" s="20"/>
      <c r="O93" s="20"/>
      <c r="P93" s="196"/>
      <c r="Q93" s="196"/>
      <c r="R93" s="196"/>
      <c r="S93" s="20"/>
      <c r="T93" s="20"/>
      <c r="U93" s="20"/>
      <c r="V93" s="33"/>
      <c r="W93" s="20"/>
      <c r="X93" s="20"/>
      <c r="Y93" s="20"/>
      <c r="Z93" s="20"/>
      <c r="AA93" s="20"/>
      <c r="AB93" s="20"/>
      <c r="AC93" s="20"/>
      <c r="AD93" s="32">
        <f>ROUND(SUM(J93:AC93),0)</f>
        <v>0</v>
      </c>
    </row>
    <row r="94" spans="3:30" ht="12.75" customHeight="1">
      <c r="C94" s="31">
        <v>3495</v>
      </c>
      <c r="D94" s="32" t="s">
        <v>86</v>
      </c>
      <c r="E94" s="20"/>
      <c r="F94" s="20"/>
      <c r="G94" s="20"/>
      <c r="H94" s="20"/>
      <c r="I94" s="33"/>
      <c r="J94" s="32">
        <f>ROUND(SUM(E94:H94),0)</f>
        <v>0</v>
      </c>
      <c r="K94" s="33"/>
      <c r="L94" s="20"/>
      <c r="M94" s="20"/>
      <c r="N94" s="20"/>
      <c r="O94" s="20"/>
      <c r="P94" s="196"/>
      <c r="Q94" s="196"/>
      <c r="R94" s="196"/>
      <c r="S94" s="20"/>
      <c r="T94" s="20"/>
      <c r="U94" s="20"/>
      <c r="V94" s="33"/>
      <c r="W94" s="20"/>
      <c r="X94" s="20"/>
      <c r="Y94" s="20"/>
      <c r="Z94" s="20"/>
      <c r="AA94" s="20"/>
      <c r="AB94" s="20"/>
      <c r="AC94" s="20"/>
      <c r="AD94" s="32">
        <f>ROUND(SUM(J94:AC94),0)</f>
        <v>0</v>
      </c>
    </row>
    <row r="95" spans="3:30" ht="12.75" customHeight="1">
      <c r="C95" s="31">
        <v>3496</v>
      </c>
      <c r="D95" s="32" t="s">
        <v>87</v>
      </c>
      <c r="E95" s="20"/>
      <c r="F95" s="20"/>
      <c r="G95" s="20"/>
      <c r="H95" s="20"/>
      <c r="I95" s="33"/>
      <c r="J95" s="32">
        <f>ROUND(SUM(E95:H95),0)</f>
        <v>0</v>
      </c>
      <c r="K95" s="33"/>
      <c r="L95" s="20"/>
      <c r="M95" s="20"/>
      <c r="N95" s="20"/>
      <c r="O95" s="20"/>
      <c r="P95" s="196"/>
      <c r="Q95" s="196"/>
      <c r="R95" s="196"/>
      <c r="S95" s="20"/>
      <c r="T95" s="20"/>
      <c r="U95" s="20"/>
      <c r="V95" s="33"/>
      <c r="W95" s="20"/>
      <c r="X95" s="20"/>
      <c r="Y95" s="20"/>
      <c r="Z95" s="20"/>
      <c r="AA95" s="20"/>
      <c r="AB95" s="20"/>
      <c r="AC95" s="20"/>
      <c r="AD95" s="32">
        <f>ROUND(SUM(J95:AC95),0)</f>
        <v>0</v>
      </c>
    </row>
    <row r="96" spans="3:30" ht="12.75" customHeight="1">
      <c r="C96" s="31">
        <v>3497</v>
      </c>
      <c r="D96" s="32" t="s">
        <v>88</v>
      </c>
      <c r="E96" s="20"/>
      <c r="F96" s="20"/>
      <c r="G96" s="20"/>
      <c r="H96" s="20"/>
      <c r="I96" s="33"/>
      <c r="J96" s="32">
        <f>ROUND(SUM(E96:H96),0)</f>
        <v>0</v>
      </c>
      <c r="K96" s="33"/>
      <c r="L96" s="20"/>
      <c r="M96" s="20"/>
      <c r="N96" s="20"/>
      <c r="O96" s="20"/>
      <c r="P96" s="196"/>
      <c r="Q96" s="196"/>
      <c r="R96" s="196"/>
      <c r="S96" s="20"/>
      <c r="T96" s="20"/>
      <c r="U96" s="20"/>
      <c r="V96" s="33"/>
      <c r="W96" s="20"/>
      <c r="X96" s="20"/>
      <c r="Y96" s="20"/>
      <c r="Z96" s="20"/>
      <c r="AA96" s="20"/>
      <c r="AB96" s="20"/>
      <c r="AC96" s="20"/>
      <c r="AD96" s="32">
        <f>ROUND(SUM(J96:AC96),0)</f>
        <v>0</v>
      </c>
    </row>
    <row r="97" spans="3:30" ht="12.75" customHeight="1">
      <c r="C97" s="31">
        <v>3498</v>
      </c>
      <c r="D97" s="34" t="s">
        <v>89</v>
      </c>
      <c r="E97" s="32">
        <f>ROUND(SUM(E93:E96),0)</f>
        <v>0</v>
      </c>
      <c r="F97" s="32">
        <f>ROUND(SUM(F93:F96),0)</f>
        <v>0</v>
      </c>
      <c r="G97" s="32">
        <f>ROUND(SUM(G93:G96),0)</f>
        <v>0</v>
      </c>
      <c r="H97" s="32">
        <f>ROUND(SUM(H93:H96),0)</f>
        <v>0</v>
      </c>
      <c r="I97" s="33"/>
      <c r="J97" s="32">
        <f>ROUND(SUM(E97:H97),0)</f>
        <v>0</v>
      </c>
      <c r="K97" s="33"/>
      <c r="L97" s="32">
        <f t="shared" ref="L97:AC97" si="32">ROUND(SUM(L93:L96),0)</f>
        <v>0</v>
      </c>
      <c r="M97" s="32">
        <f t="shared" si="32"/>
        <v>0</v>
      </c>
      <c r="N97" s="32">
        <f>ROUND(SUM(N93:N96),0)</f>
        <v>0</v>
      </c>
      <c r="O97" s="32">
        <f>ROUND(SUM(O93:O96),0)</f>
        <v>0</v>
      </c>
      <c r="P97" s="32">
        <f>ROUND(SUM(P93:P96),0)</f>
        <v>0</v>
      </c>
      <c r="Q97" s="32">
        <f>ROUND(SUM(Q93:Q96),0)</f>
        <v>0</v>
      </c>
      <c r="R97" s="32">
        <f>ROUND(SUM(R93:R96),0)</f>
        <v>0</v>
      </c>
      <c r="S97" s="32">
        <f t="shared" si="32"/>
        <v>0</v>
      </c>
      <c r="T97" s="32">
        <f t="shared" si="32"/>
        <v>0</v>
      </c>
      <c r="U97" s="32">
        <f t="shared" si="32"/>
        <v>0</v>
      </c>
      <c r="V97" s="33"/>
      <c r="W97" s="32">
        <f t="shared" si="32"/>
        <v>0</v>
      </c>
      <c r="X97" s="32">
        <f>ROUND(SUM(X93:X96),0)</f>
        <v>0</v>
      </c>
      <c r="Y97" s="32">
        <f t="shared" si="32"/>
        <v>0</v>
      </c>
      <c r="Z97" s="32">
        <f t="shared" si="32"/>
        <v>0</v>
      </c>
      <c r="AA97" s="32">
        <f t="shared" si="32"/>
        <v>0</v>
      </c>
      <c r="AB97" s="32">
        <f t="shared" si="32"/>
        <v>0</v>
      </c>
      <c r="AC97" s="32">
        <f t="shared" si="32"/>
        <v>0</v>
      </c>
      <c r="AD97" s="32">
        <f>ROUND(SUM(J97:AC97),0)</f>
        <v>0</v>
      </c>
    </row>
    <row r="98" spans="3:30" ht="12.75" customHeight="1">
      <c r="C98" s="35"/>
      <c r="D98" s="120" t="s">
        <v>115</v>
      </c>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row>
    <row r="99" spans="3:30" ht="12.75" customHeight="1">
      <c r="C99" s="31">
        <v>3499</v>
      </c>
      <c r="D99" s="32" t="s">
        <v>91</v>
      </c>
      <c r="E99" s="20"/>
      <c r="F99" s="20"/>
      <c r="G99" s="20"/>
      <c r="H99" s="20"/>
      <c r="I99" s="33"/>
      <c r="J99" s="32">
        <f>ROUND(SUM(E99:H99),0)</f>
        <v>0</v>
      </c>
      <c r="K99" s="33"/>
      <c r="L99" s="20"/>
      <c r="M99" s="20"/>
      <c r="N99" s="20"/>
      <c r="O99" s="20"/>
      <c r="P99" s="196"/>
      <c r="Q99" s="196"/>
      <c r="R99" s="196"/>
      <c r="S99" s="20"/>
      <c r="T99" s="20"/>
      <c r="U99" s="20"/>
      <c r="V99" s="33"/>
      <c r="W99" s="20"/>
      <c r="X99" s="20"/>
      <c r="Y99" s="20"/>
      <c r="Z99" s="20"/>
      <c r="AA99" s="20"/>
      <c r="AB99" s="20"/>
      <c r="AC99" s="20"/>
      <c r="AD99" s="32">
        <f>ROUND(SUM(J99:AC99),0)</f>
        <v>0</v>
      </c>
    </row>
    <row r="100" spans="3:30" ht="12.75" customHeight="1">
      <c r="C100" s="35"/>
      <c r="D100" s="120" t="s">
        <v>116</v>
      </c>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row>
    <row r="101" spans="3:30" ht="12.75" customHeight="1">
      <c r="C101" s="31">
        <v>3501</v>
      </c>
      <c r="D101" s="32" t="s">
        <v>91</v>
      </c>
      <c r="E101" s="20"/>
      <c r="F101" s="20"/>
      <c r="G101" s="20"/>
      <c r="H101" s="20"/>
      <c r="I101" s="33"/>
      <c r="J101" s="32">
        <f>ROUND(SUM(E101:H101),0)</f>
        <v>0</v>
      </c>
      <c r="K101" s="33"/>
      <c r="L101" s="20"/>
      <c r="M101" s="20"/>
      <c r="N101" s="20"/>
      <c r="O101" s="20"/>
      <c r="P101" s="196"/>
      <c r="Q101" s="196"/>
      <c r="R101" s="196"/>
      <c r="S101" s="20"/>
      <c r="T101" s="20"/>
      <c r="U101" s="20"/>
      <c r="V101" s="33"/>
      <c r="W101" s="20"/>
      <c r="X101" s="20"/>
      <c r="Y101" s="20"/>
      <c r="Z101" s="20"/>
      <c r="AA101" s="20"/>
      <c r="AB101" s="20"/>
      <c r="AC101" s="20"/>
      <c r="AD101" s="32">
        <f>ROUND(SUM(J101:AC101),0)</f>
        <v>0</v>
      </c>
    </row>
    <row r="102" spans="3:30" ht="12.75" customHeight="1">
      <c r="C102" s="31">
        <v>3502</v>
      </c>
      <c r="D102" s="32" t="s">
        <v>85</v>
      </c>
      <c r="E102" s="20"/>
      <c r="F102" s="20"/>
      <c r="G102" s="20"/>
      <c r="H102" s="20"/>
      <c r="I102" s="33"/>
      <c r="J102" s="32">
        <f>ROUND(SUM(E102:H102),0)</f>
        <v>0</v>
      </c>
      <c r="K102" s="33"/>
      <c r="L102" s="20"/>
      <c r="M102" s="20"/>
      <c r="N102" s="20"/>
      <c r="O102" s="20"/>
      <c r="P102" s="196"/>
      <c r="Q102" s="196"/>
      <c r="R102" s="196"/>
      <c r="S102" s="20"/>
      <c r="T102" s="20"/>
      <c r="U102" s="20"/>
      <c r="V102" s="33"/>
      <c r="W102" s="20"/>
      <c r="X102" s="20"/>
      <c r="Y102" s="20"/>
      <c r="Z102" s="20"/>
      <c r="AA102" s="20"/>
      <c r="AB102" s="20"/>
      <c r="AC102" s="20"/>
      <c r="AD102" s="32">
        <f>ROUND(SUM(J102:AC102),0)</f>
        <v>0</v>
      </c>
    </row>
    <row r="103" spans="3:30" ht="12.75" customHeight="1">
      <c r="C103" s="31">
        <v>3503</v>
      </c>
      <c r="D103" s="32" t="s">
        <v>87</v>
      </c>
      <c r="E103" s="20"/>
      <c r="F103" s="20"/>
      <c r="G103" s="20"/>
      <c r="H103" s="20"/>
      <c r="I103" s="33"/>
      <c r="J103" s="32">
        <f>ROUND(SUM(E103:H103),0)</f>
        <v>0</v>
      </c>
      <c r="K103" s="33"/>
      <c r="L103" s="20"/>
      <c r="M103" s="20"/>
      <c r="N103" s="20"/>
      <c r="O103" s="20"/>
      <c r="P103" s="196"/>
      <c r="Q103" s="196"/>
      <c r="R103" s="196"/>
      <c r="S103" s="20"/>
      <c r="T103" s="20"/>
      <c r="U103" s="20"/>
      <c r="V103" s="33"/>
      <c r="W103" s="20"/>
      <c r="X103" s="20"/>
      <c r="Y103" s="20"/>
      <c r="Z103" s="20"/>
      <c r="AA103" s="20"/>
      <c r="AB103" s="20"/>
      <c r="AC103" s="20"/>
      <c r="AD103" s="32">
        <f>ROUND(SUM(J103:AC103),0)</f>
        <v>0</v>
      </c>
    </row>
    <row r="104" spans="3:30" ht="12.75" customHeight="1">
      <c r="C104" s="31">
        <v>3504</v>
      </c>
      <c r="D104" s="32" t="s">
        <v>88</v>
      </c>
      <c r="E104" s="20"/>
      <c r="F104" s="20"/>
      <c r="G104" s="20"/>
      <c r="H104" s="20"/>
      <c r="I104" s="33"/>
      <c r="J104" s="32">
        <f>ROUND(SUM(E104:H104),0)</f>
        <v>0</v>
      </c>
      <c r="K104" s="33"/>
      <c r="L104" s="20"/>
      <c r="M104" s="20"/>
      <c r="N104" s="20"/>
      <c r="O104" s="20"/>
      <c r="P104" s="196"/>
      <c r="Q104" s="196"/>
      <c r="R104" s="196"/>
      <c r="S104" s="20"/>
      <c r="T104" s="20"/>
      <c r="U104" s="20">
        <v>770</v>
      </c>
      <c r="V104" s="33"/>
      <c r="W104" s="20">
        <v>487</v>
      </c>
      <c r="X104" s="20"/>
      <c r="Y104" s="20"/>
      <c r="Z104" s="20"/>
      <c r="AA104" s="20"/>
      <c r="AB104" s="20"/>
      <c r="AC104" s="20"/>
      <c r="AD104" s="32">
        <f>ROUND(SUM(J104:AC104),0)</f>
        <v>1257</v>
      </c>
    </row>
    <row r="105" spans="3:30" ht="12.75" customHeight="1">
      <c r="C105" s="31">
        <v>3505</v>
      </c>
      <c r="D105" s="34" t="s">
        <v>89</v>
      </c>
      <c r="E105" s="32">
        <f>ROUND(SUM(E101:E104),0)</f>
        <v>0</v>
      </c>
      <c r="F105" s="32">
        <f>ROUND(SUM(F101:F104),0)</f>
        <v>0</v>
      </c>
      <c r="G105" s="32">
        <f>ROUND(SUM(G101:G104),0)</f>
        <v>0</v>
      </c>
      <c r="H105" s="32">
        <f>ROUND(SUM(H101:H104),0)</f>
        <v>0</v>
      </c>
      <c r="I105" s="33"/>
      <c r="J105" s="32">
        <f>ROUND(SUM(E105:H105),0)</f>
        <v>0</v>
      </c>
      <c r="K105" s="33"/>
      <c r="L105" s="32">
        <f t="shared" ref="L105:R105" si="33">ROUND(SUM(L101:L104),0)</f>
        <v>0</v>
      </c>
      <c r="M105" s="32">
        <f t="shared" si="33"/>
        <v>0</v>
      </c>
      <c r="N105" s="32">
        <f t="shared" si="33"/>
        <v>0</v>
      </c>
      <c r="O105" s="32">
        <f t="shared" si="33"/>
        <v>0</v>
      </c>
      <c r="P105" s="32">
        <f t="shared" si="33"/>
        <v>0</v>
      </c>
      <c r="Q105" s="32">
        <f t="shared" si="33"/>
        <v>0</v>
      </c>
      <c r="R105" s="32">
        <f t="shared" si="33"/>
        <v>0</v>
      </c>
      <c r="S105" s="32">
        <f t="shared" ref="S105:AB105" si="34">ROUND(SUM(S101:S104),0)</f>
        <v>0</v>
      </c>
      <c r="T105" s="32">
        <f t="shared" si="34"/>
        <v>0</v>
      </c>
      <c r="U105" s="32">
        <f t="shared" si="34"/>
        <v>770</v>
      </c>
      <c r="V105" s="33"/>
      <c r="W105" s="32">
        <v>486.83</v>
      </c>
      <c r="X105" s="32">
        <f>ROUND(SUM(X101:X104),0)</f>
        <v>0</v>
      </c>
      <c r="Y105" s="32">
        <f t="shared" si="34"/>
        <v>0</v>
      </c>
      <c r="Z105" s="32">
        <f t="shared" si="34"/>
        <v>0</v>
      </c>
      <c r="AA105" s="32">
        <f t="shared" si="34"/>
        <v>0</v>
      </c>
      <c r="AB105" s="32">
        <f t="shared" si="34"/>
        <v>0</v>
      </c>
      <c r="AC105" s="32">
        <f>ROUND(SUM(AC101:AC104),0)</f>
        <v>0</v>
      </c>
      <c r="AD105" s="32">
        <f>ROUND(SUM(J105:AC105),0)</f>
        <v>1257</v>
      </c>
    </row>
    <row r="106" spans="3:30" ht="12.75" customHeight="1">
      <c r="C106" s="35"/>
      <c r="D106" s="120" t="s">
        <v>292</v>
      </c>
      <c r="E106" s="30"/>
      <c r="F106" s="30"/>
      <c r="G106" s="30"/>
      <c r="H106" s="30"/>
      <c r="I106" s="1"/>
      <c r="J106" s="137"/>
      <c r="K106" s="1"/>
      <c r="L106" s="30"/>
      <c r="M106" s="30"/>
      <c r="N106" s="30"/>
      <c r="O106" s="30"/>
      <c r="P106" s="30"/>
      <c r="Q106" s="30"/>
      <c r="R106" s="30"/>
      <c r="S106" s="30"/>
      <c r="T106" s="30"/>
      <c r="U106" s="30"/>
      <c r="V106" s="1"/>
      <c r="W106" s="30"/>
      <c r="X106" s="30"/>
      <c r="Y106" s="30"/>
      <c r="Z106" s="30"/>
      <c r="AA106" s="30"/>
      <c r="AB106" s="30"/>
      <c r="AC106" s="30"/>
      <c r="AD106" s="30"/>
    </row>
    <row r="107" spans="3:30" ht="12.75" customHeight="1">
      <c r="C107" s="31">
        <v>3506</v>
      </c>
      <c r="D107" s="32" t="s">
        <v>86</v>
      </c>
      <c r="E107" s="20">
        <v>21495</v>
      </c>
      <c r="F107" s="20">
        <v>5000</v>
      </c>
      <c r="G107" s="20"/>
      <c r="H107" s="20"/>
      <c r="I107" s="33"/>
      <c r="J107" s="32">
        <f>ROUND(SUM(E107:H107),0)</f>
        <v>26495</v>
      </c>
      <c r="K107" s="33"/>
      <c r="L107" s="20"/>
      <c r="M107" s="20"/>
      <c r="N107" s="20"/>
      <c r="O107" s="20"/>
      <c r="P107" s="196"/>
      <c r="Q107" s="196"/>
      <c r="R107" s="196"/>
      <c r="S107" s="20"/>
      <c r="T107" s="20"/>
      <c r="U107" s="20"/>
      <c r="V107" s="33"/>
      <c r="W107" s="20"/>
      <c r="X107" s="20"/>
      <c r="Y107" s="20"/>
      <c r="Z107" s="20"/>
      <c r="AA107" s="20"/>
      <c r="AB107" s="20"/>
      <c r="AC107" s="20"/>
      <c r="AD107" s="32">
        <f>ROUND(SUM(J107:AC107),0)</f>
        <v>26495</v>
      </c>
    </row>
    <row r="108" spans="3:30" ht="12.75" customHeight="1">
      <c r="C108" s="31">
        <v>3507</v>
      </c>
      <c r="D108" s="32" t="s">
        <v>87</v>
      </c>
      <c r="E108" s="20"/>
      <c r="F108" s="20"/>
      <c r="G108" s="20"/>
      <c r="H108" s="20"/>
      <c r="I108" s="33"/>
      <c r="J108" s="32">
        <f>ROUND(SUM(E108:H108),0)</f>
        <v>0</v>
      </c>
      <c r="K108" s="33"/>
      <c r="L108" s="20"/>
      <c r="M108" s="20"/>
      <c r="N108" s="20"/>
      <c r="O108" s="20"/>
      <c r="P108" s="196"/>
      <c r="Q108" s="196"/>
      <c r="R108" s="196"/>
      <c r="S108" s="20"/>
      <c r="T108" s="20"/>
      <c r="U108" s="20"/>
      <c r="V108" s="33"/>
      <c r="W108" s="20"/>
      <c r="X108" s="20"/>
      <c r="Y108" s="20"/>
      <c r="Z108" s="20"/>
      <c r="AA108" s="20"/>
      <c r="AB108" s="20"/>
      <c r="AC108" s="20"/>
      <c r="AD108" s="32">
        <f>ROUND(SUM(J108:AC108),0)</f>
        <v>0</v>
      </c>
    </row>
    <row r="109" spans="3:30" ht="12.75" customHeight="1">
      <c r="C109" s="31">
        <v>3508</v>
      </c>
      <c r="D109" s="32" t="s">
        <v>88</v>
      </c>
      <c r="E109" s="20"/>
      <c r="F109" s="20"/>
      <c r="G109" s="20"/>
      <c r="H109" s="20"/>
      <c r="I109" s="33"/>
      <c r="J109" s="32">
        <f>ROUND(SUM(E109:H109),0)</f>
        <v>0</v>
      </c>
      <c r="K109" s="33"/>
      <c r="L109" s="20"/>
      <c r="M109" s="20"/>
      <c r="N109" s="20"/>
      <c r="O109" s="20"/>
      <c r="P109" s="196"/>
      <c r="Q109" s="196"/>
      <c r="R109" s="196"/>
      <c r="S109" s="20"/>
      <c r="T109" s="20"/>
      <c r="U109" s="20"/>
      <c r="V109" s="33"/>
      <c r="W109" s="20"/>
      <c r="X109" s="20"/>
      <c r="Y109" s="20"/>
      <c r="Z109" s="20"/>
      <c r="AA109" s="20"/>
      <c r="AB109" s="20"/>
      <c r="AC109" s="20"/>
      <c r="AD109" s="32">
        <f>ROUND(SUM(J109:AC109),0)</f>
        <v>0</v>
      </c>
    </row>
    <row r="110" spans="3:30" ht="12.75" customHeight="1">
      <c r="C110" s="31">
        <v>3509</v>
      </c>
      <c r="D110" s="34" t="s">
        <v>89</v>
      </c>
      <c r="E110" s="32">
        <f>ROUND(SUM(E107:E109),0)</f>
        <v>21495</v>
      </c>
      <c r="F110" s="32">
        <f>ROUND(SUM(F107:F109),0)</f>
        <v>5000</v>
      </c>
      <c r="G110" s="32">
        <f>ROUND(SUM(G107:G109),0)</f>
        <v>0</v>
      </c>
      <c r="H110" s="32">
        <f>ROUND(SUM(H107:H109),0)</f>
        <v>0</v>
      </c>
      <c r="I110" s="33"/>
      <c r="J110" s="32">
        <f>ROUND(SUM(E110:H110),0)</f>
        <v>26495</v>
      </c>
      <c r="K110" s="33"/>
      <c r="L110" s="32">
        <f t="shared" ref="L110:AC110" si="35">ROUND(SUM(L107:L109),0)</f>
        <v>0</v>
      </c>
      <c r="M110" s="32">
        <f t="shared" si="35"/>
        <v>0</v>
      </c>
      <c r="N110" s="32">
        <f>ROUND(SUM(N107:N109),0)</f>
        <v>0</v>
      </c>
      <c r="O110" s="32">
        <f>ROUND(SUM(O107:O109),0)</f>
        <v>0</v>
      </c>
      <c r="P110" s="32">
        <f>ROUND(SUM(P107:P109),0)</f>
        <v>0</v>
      </c>
      <c r="Q110" s="32">
        <f>ROUND(SUM(Q107:Q109),0)</f>
        <v>0</v>
      </c>
      <c r="R110" s="32">
        <f>ROUND(SUM(R107:R109),0)</f>
        <v>0</v>
      </c>
      <c r="S110" s="32">
        <f t="shared" si="35"/>
        <v>0</v>
      </c>
      <c r="T110" s="32">
        <f t="shared" si="35"/>
        <v>0</v>
      </c>
      <c r="U110" s="32">
        <f t="shared" si="35"/>
        <v>0</v>
      </c>
      <c r="V110" s="33"/>
      <c r="W110" s="32">
        <f t="shared" si="35"/>
        <v>0</v>
      </c>
      <c r="X110" s="32">
        <f>ROUND(SUM(X107:X109),0)</f>
        <v>0</v>
      </c>
      <c r="Y110" s="32">
        <f t="shared" si="35"/>
        <v>0</v>
      </c>
      <c r="Z110" s="32">
        <f t="shared" si="35"/>
        <v>0</v>
      </c>
      <c r="AA110" s="32">
        <f t="shared" si="35"/>
        <v>0</v>
      </c>
      <c r="AB110" s="32">
        <f t="shared" si="35"/>
        <v>0</v>
      </c>
      <c r="AC110" s="32">
        <f t="shared" si="35"/>
        <v>0</v>
      </c>
      <c r="AD110" s="32">
        <f>ROUND(SUM(J110:AC110),0)</f>
        <v>26495</v>
      </c>
    </row>
    <row r="111" spans="3:30" ht="12.75" customHeight="1">
      <c r="C111" s="35"/>
      <c r="D111" s="120" t="s">
        <v>118</v>
      </c>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row>
    <row r="112" spans="3:30" ht="12.75" customHeight="1">
      <c r="C112" s="31">
        <v>3511</v>
      </c>
      <c r="D112" s="32" t="s">
        <v>87</v>
      </c>
      <c r="E112" s="20">
        <v>4281</v>
      </c>
      <c r="F112" s="20"/>
      <c r="G112" s="20"/>
      <c r="H112" s="20"/>
      <c r="I112" s="33"/>
      <c r="J112" s="32">
        <f>ROUND(SUM(E112:H112),0)</f>
        <v>4281</v>
      </c>
      <c r="K112" s="33"/>
      <c r="L112" s="20"/>
      <c r="M112" s="20"/>
      <c r="N112" s="20"/>
      <c r="O112" s="20"/>
      <c r="P112" s="196"/>
      <c r="Q112" s="196"/>
      <c r="R112" s="196"/>
      <c r="S112" s="20"/>
      <c r="T112" s="20"/>
      <c r="U112" s="20"/>
      <c r="V112" s="33"/>
      <c r="W112" s="20"/>
      <c r="X112" s="20"/>
      <c r="Y112" s="20"/>
      <c r="Z112" s="20"/>
      <c r="AA112" s="20"/>
      <c r="AB112" s="20"/>
      <c r="AC112" s="20">
        <v>248</v>
      </c>
      <c r="AD112" s="32">
        <f>ROUND(SUM(J112:AC112),0)</f>
        <v>4529</v>
      </c>
    </row>
    <row r="113" spans="3:30" ht="12.75" customHeight="1">
      <c r="C113" s="35"/>
      <c r="D113" s="120" t="s">
        <v>119</v>
      </c>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row>
    <row r="114" spans="3:30" ht="12.75" customHeight="1">
      <c r="C114" s="31">
        <v>3514</v>
      </c>
      <c r="D114" s="32" t="s">
        <v>86</v>
      </c>
      <c r="E114" s="20"/>
      <c r="F114" s="20"/>
      <c r="G114" s="20"/>
      <c r="H114" s="20"/>
      <c r="I114" s="33"/>
      <c r="J114" s="32">
        <f>ROUND(SUM(E114:H114),0)</f>
        <v>0</v>
      </c>
      <c r="K114" s="20"/>
      <c r="L114" s="20"/>
      <c r="M114" s="20"/>
      <c r="N114" s="20"/>
      <c r="O114" s="20"/>
      <c r="P114" s="196"/>
      <c r="Q114" s="196"/>
      <c r="R114" s="196"/>
      <c r="S114" s="20"/>
      <c r="T114" s="20"/>
      <c r="U114" s="20"/>
      <c r="V114" s="33"/>
      <c r="W114" s="20"/>
      <c r="X114" s="20"/>
      <c r="Y114" s="20"/>
      <c r="Z114" s="20"/>
      <c r="AA114" s="20"/>
      <c r="AB114" s="20">
        <v>169648</v>
      </c>
      <c r="AC114" s="20"/>
      <c r="AD114" s="32">
        <f>ROUND(SUM(J114:AC114),0)</f>
        <v>169648</v>
      </c>
    </row>
    <row r="115" spans="3:30" ht="12.75" customHeight="1">
      <c r="C115" s="31">
        <v>3515</v>
      </c>
      <c r="D115" s="32" t="s">
        <v>87</v>
      </c>
      <c r="E115" s="20">
        <v>68931.12</v>
      </c>
      <c r="F115" s="20">
        <v>8192</v>
      </c>
      <c r="G115" s="20"/>
      <c r="H115" s="20"/>
      <c r="I115" s="33"/>
      <c r="J115" s="32">
        <f>ROUND(SUM(E115:H115),0)</f>
        <v>77123</v>
      </c>
      <c r="K115" s="20"/>
      <c r="L115" s="20"/>
      <c r="M115" s="20">
        <v>25638.760000000002</v>
      </c>
      <c r="N115" s="20"/>
      <c r="O115" s="20"/>
      <c r="P115" s="196"/>
      <c r="Q115" s="196"/>
      <c r="R115" s="196"/>
      <c r="S115" s="20">
        <v>791</v>
      </c>
      <c r="T115" s="20"/>
      <c r="U115" s="20">
        <v>4791</v>
      </c>
      <c r="V115" s="33"/>
      <c r="W115" s="20">
        <v>4763</v>
      </c>
      <c r="X115" s="20"/>
      <c r="Y115" s="20">
        <v>25233</v>
      </c>
      <c r="Z115" s="20"/>
      <c r="AA115" s="20">
        <v>5500</v>
      </c>
      <c r="AB115" s="20"/>
      <c r="AC115" s="20">
        <v>2744</v>
      </c>
      <c r="AD115" s="32">
        <f>ROUND(SUM(J115:AC115),0)</f>
        <v>146584</v>
      </c>
    </row>
    <row r="116" spans="3:30" ht="12.75" customHeight="1">
      <c r="C116" s="31">
        <v>3516</v>
      </c>
      <c r="D116" s="32" t="s">
        <v>88</v>
      </c>
      <c r="E116" s="20"/>
      <c r="F116" s="20"/>
      <c r="G116" s="20"/>
      <c r="H116" s="20"/>
      <c r="I116" s="33"/>
      <c r="J116" s="32">
        <f>ROUND(SUM(E116:H116),0)</f>
        <v>0</v>
      </c>
      <c r="K116" s="20"/>
      <c r="L116" s="20"/>
      <c r="M116" s="20">
        <v>2059.239999999998</v>
      </c>
      <c r="N116" s="20"/>
      <c r="O116" s="20"/>
      <c r="P116" s="196"/>
      <c r="Q116" s="196"/>
      <c r="R116" s="196"/>
      <c r="S116" s="20"/>
      <c r="T116" s="20"/>
      <c r="U116" s="20">
        <v>5637</v>
      </c>
      <c r="V116" s="33"/>
      <c r="W116" s="20"/>
      <c r="X116" s="20"/>
      <c r="Y116" s="20">
        <v>150</v>
      </c>
      <c r="Z116" s="20"/>
      <c r="AA116" s="20"/>
      <c r="AB116" s="20"/>
      <c r="AC116" s="20"/>
      <c r="AD116" s="32">
        <f>ROUND(SUM(J116:AC116),0)</f>
        <v>7846</v>
      </c>
    </row>
    <row r="117" spans="3:30" ht="12.75" customHeight="1">
      <c r="C117" s="31">
        <v>3519</v>
      </c>
      <c r="D117" s="34" t="s">
        <v>89</v>
      </c>
      <c r="E117" s="32">
        <f>ROUND(SUM(E114:E116),0)</f>
        <v>68931</v>
      </c>
      <c r="F117" s="32">
        <f>ROUND(SUM(F114:F116),0)</f>
        <v>8192</v>
      </c>
      <c r="G117" s="32">
        <f>ROUND(SUM(G114:G116),0)</f>
        <v>0</v>
      </c>
      <c r="H117" s="32">
        <f>ROUND(SUM(H114:H116),0)</f>
        <v>0</v>
      </c>
      <c r="I117" s="33"/>
      <c r="J117" s="32">
        <f>ROUND(SUM(E117:H117),0)</f>
        <v>77123</v>
      </c>
      <c r="K117" s="32">
        <f t="shared" ref="K117:P117" si="36">ROUND(SUM(K114:K116),0)</f>
        <v>0</v>
      </c>
      <c r="L117" s="32">
        <f t="shared" si="36"/>
        <v>0</v>
      </c>
      <c r="M117" s="32">
        <f t="shared" si="36"/>
        <v>27698</v>
      </c>
      <c r="N117" s="32"/>
      <c r="O117" s="32">
        <f t="shared" si="36"/>
        <v>0</v>
      </c>
      <c r="P117" s="32">
        <f t="shared" si="36"/>
        <v>0</v>
      </c>
      <c r="Q117" s="32">
        <f>ROUND(SUM(Q114:Q116),0)</f>
        <v>0</v>
      </c>
      <c r="R117" s="32">
        <f>ROUND(SUM(R114:R116),0)</f>
        <v>0</v>
      </c>
      <c r="S117" s="32">
        <f t="shared" ref="S117:AA117" si="37">ROUND(SUM(S114:S116),0)</f>
        <v>791</v>
      </c>
      <c r="T117" s="32">
        <f t="shared" si="37"/>
        <v>0</v>
      </c>
      <c r="U117" s="32">
        <f t="shared" si="37"/>
        <v>10428</v>
      </c>
      <c r="V117" s="33"/>
      <c r="W117" s="32">
        <v>4763</v>
      </c>
      <c r="X117" s="32">
        <f>ROUND(SUM(X114:X116),0)</f>
        <v>0</v>
      </c>
      <c r="Y117" s="32">
        <v>25383</v>
      </c>
      <c r="Z117" s="32">
        <f t="shared" si="37"/>
        <v>0</v>
      </c>
      <c r="AA117" s="32">
        <f t="shared" si="37"/>
        <v>5500</v>
      </c>
      <c r="AB117" s="32">
        <v>169648</v>
      </c>
      <c r="AC117" s="32">
        <v>2744</v>
      </c>
      <c r="AD117" s="32">
        <f>ROUND(SUM(J117:AC117),0)</f>
        <v>324078</v>
      </c>
    </row>
    <row r="118" spans="3:30" ht="12.75" customHeight="1">
      <c r="C118" s="35"/>
      <c r="D118" s="120" t="s">
        <v>120</v>
      </c>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row>
    <row r="119" spans="3:30" ht="12.75" customHeight="1">
      <c r="C119" s="31">
        <v>3524</v>
      </c>
      <c r="D119" s="32" t="s">
        <v>86</v>
      </c>
      <c r="E119" s="20"/>
      <c r="F119" s="20"/>
      <c r="G119" s="20"/>
      <c r="H119" s="20"/>
      <c r="I119" s="33"/>
      <c r="J119" s="32">
        <f>ROUND(SUM(E119:H119),0)</f>
        <v>0</v>
      </c>
      <c r="K119" s="33"/>
      <c r="L119" s="20"/>
      <c r="M119" s="20"/>
      <c r="N119" s="20"/>
      <c r="O119" s="20"/>
      <c r="P119" s="196"/>
      <c r="Q119" s="196"/>
      <c r="R119" s="196"/>
      <c r="S119" s="20">
        <v>7</v>
      </c>
      <c r="T119" s="20"/>
      <c r="U119" s="20"/>
      <c r="V119" s="33"/>
      <c r="W119" s="20"/>
      <c r="X119" s="20"/>
      <c r="Y119" s="20"/>
      <c r="Z119" s="20"/>
      <c r="AA119" s="20">
        <v>25000</v>
      </c>
      <c r="AB119" s="20"/>
      <c r="AC119" s="20"/>
      <c r="AD119" s="32">
        <f>ROUND(SUM(J119:AC119),0)</f>
        <v>25007</v>
      </c>
    </row>
    <row r="120" spans="3:30" ht="12.75" customHeight="1">
      <c r="C120" s="31">
        <v>3525</v>
      </c>
      <c r="D120" s="32" t="s">
        <v>87</v>
      </c>
      <c r="E120" s="20">
        <v>54469.61</v>
      </c>
      <c r="F120" s="20"/>
      <c r="G120" s="20"/>
      <c r="H120" s="20"/>
      <c r="I120" s="33"/>
      <c r="J120" s="32">
        <f>ROUND(SUM(E120:H120),0)</f>
        <v>54470</v>
      </c>
      <c r="K120" s="33"/>
      <c r="L120" s="20"/>
      <c r="M120" s="20"/>
      <c r="N120" s="20"/>
      <c r="O120" s="20"/>
      <c r="P120" s="196"/>
      <c r="Q120" s="196"/>
      <c r="R120" s="196"/>
      <c r="S120" s="20"/>
      <c r="T120" s="20"/>
      <c r="U120" s="20"/>
      <c r="V120" s="33"/>
      <c r="W120" s="20"/>
      <c r="X120" s="20"/>
      <c r="Y120" s="20"/>
      <c r="Z120" s="20"/>
      <c r="AA120" s="20">
        <v>25000</v>
      </c>
      <c r="AB120" s="20"/>
      <c r="AC120" s="20"/>
      <c r="AD120" s="32">
        <f>ROUND(SUM(J120:AC120),0)</f>
        <v>79470</v>
      </c>
    </row>
    <row r="121" spans="3:30" ht="12.75" customHeight="1">
      <c r="C121" s="31">
        <v>3526</v>
      </c>
      <c r="D121" s="32" t="s">
        <v>88</v>
      </c>
      <c r="E121" s="20"/>
      <c r="F121" s="20"/>
      <c r="G121" s="20"/>
      <c r="H121" s="20"/>
      <c r="I121" s="33"/>
      <c r="J121" s="32">
        <f>ROUND(SUM(E121:H121),0)</f>
        <v>0</v>
      </c>
      <c r="K121" s="33"/>
      <c r="L121" s="20"/>
      <c r="M121" s="20"/>
      <c r="N121" s="20"/>
      <c r="O121" s="20"/>
      <c r="P121" s="196"/>
      <c r="Q121" s="196"/>
      <c r="R121" s="196"/>
      <c r="S121" s="20"/>
      <c r="T121" s="20"/>
      <c r="U121" s="20"/>
      <c r="V121" s="33"/>
      <c r="W121" s="20"/>
      <c r="X121" s="20"/>
      <c r="Y121" s="20">
        <v>581.99</v>
      </c>
      <c r="Z121" s="20"/>
      <c r="AA121" s="20"/>
      <c r="AB121" s="20">
        <v>25868</v>
      </c>
      <c r="AC121" s="20"/>
      <c r="AD121" s="32">
        <f>ROUND(SUM(J121:AC121),0)</f>
        <v>26450</v>
      </c>
    </row>
    <row r="122" spans="3:30" ht="12.75" customHeight="1">
      <c r="C122" s="31">
        <v>3529</v>
      </c>
      <c r="D122" s="34" t="s">
        <v>89</v>
      </c>
      <c r="E122" s="32">
        <f>ROUND(SUM(E119:E121),0)</f>
        <v>54470</v>
      </c>
      <c r="F122" s="32">
        <f>ROUND(SUM(F119:F121),0)</f>
        <v>0</v>
      </c>
      <c r="G122" s="32">
        <f>ROUND(SUM(G119:G121),0)</f>
        <v>0</v>
      </c>
      <c r="H122" s="32">
        <f>ROUND(SUM(H119:H121),0)</f>
        <v>0</v>
      </c>
      <c r="I122" s="33"/>
      <c r="J122" s="32">
        <f>ROUND(SUM(E122:H122),0)</f>
        <v>54470</v>
      </c>
      <c r="K122" s="33"/>
      <c r="L122" s="32">
        <f t="shared" ref="L122:R122" si="38">ROUND(SUM(L119:L121),0)</f>
        <v>0</v>
      </c>
      <c r="M122" s="32">
        <f t="shared" si="38"/>
        <v>0</v>
      </c>
      <c r="N122" s="32">
        <f t="shared" si="38"/>
        <v>0</v>
      </c>
      <c r="O122" s="32">
        <f t="shared" si="38"/>
        <v>0</v>
      </c>
      <c r="P122" s="32">
        <f t="shared" si="38"/>
        <v>0</v>
      </c>
      <c r="Q122" s="32">
        <f t="shared" si="38"/>
        <v>0</v>
      </c>
      <c r="R122" s="32">
        <f t="shared" si="38"/>
        <v>0</v>
      </c>
      <c r="S122" s="32">
        <f t="shared" ref="S122:AC122" si="39">ROUND(SUM(S119:S121),0)</f>
        <v>7</v>
      </c>
      <c r="T122" s="32">
        <f t="shared" si="39"/>
        <v>0</v>
      </c>
      <c r="U122" s="32">
        <f t="shared" si="39"/>
        <v>0</v>
      </c>
      <c r="V122" s="33"/>
      <c r="W122" s="32">
        <f t="shared" si="39"/>
        <v>0</v>
      </c>
      <c r="X122" s="32">
        <f>ROUND(SUM(X119:X121),0)</f>
        <v>0</v>
      </c>
      <c r="Y122" s="32">
        <f t="shared" si="39"/>
        <v>582</v>
      </c>
      <c r="Z122" s="32">
        <f t="shared" si="39"/>
        <v>0</v>
      </c>
      <c r="AA122" s="32">
        <f t="shared" si="39"/>
        <v>50000</v>
      </c>
      <c r="AB122" s="32">
        <v>25868</v>
      </c>
      <c r="AC122" s="32">
        <f t="shared" si="39"/>
        <v>0</v>
      </c>
      <c r="AD122" s="32">
        <f>ROUND(SUM(J122:AC122),0)</f>
        <v>130927</v>
      </c>
    </row>
    <row r="123" spans="3:30" ht="12.75" customHeight="1">
      <c r="C123" s="35"/>
      <c r="D123" s="120" t="s">
        <v>121</v>
      </c>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row>
    <row r="124" spans="3:30" ht="12.75" customHeight="1">
      <c r="C124" s="31">
        <v>3535</v>
      </c>
      <c r="D124" s="32" t="s">
        <v>87</v>
      </c>
      <c r="E124" s="196">
        <v>49062.41</v>
      </c>
      <c r="F124" s="196"/>
      <c r="G124" s="196"/>
      <c r="H124" s="196"/>
      <c r="I124" s="33"/>
      <c r="J124" s="32">
        <f>ROUND(SUM(E124:H124),0)</f>
        <v>49062</v>
      </c>
      <c r="K124" s="33"/>
      <c r="L124" s="20"/>
      <c r="M124" s="20"/>
      <c r="N124" s="20"/>
      <c r="O124" s="20">
        <v>6322</v>
      </c>
      <c r="P124" s="196"/>
      <c r="Q124" s="196"/>
      <c r="R124" s="196"/>
      <c r="S124" s="20"/>
      <c r="T124" s="20"/>
      <c r="U124" s="20"/>
      <c r="V124" s="33"/>
      <c r="W124" s="20"/>
      <c r="X124" s="20"/>
      <c r="Y124" s="20"/>
      <c r="Z124" s="20"/>
      <c r="AA124" s="20"/>
      <c r="AB124" s="20"/>
      <c r="AC124" s="20"/>
      <c r="AD124" s="32">
        <f>ROUND(SUM(J124:AC124),0)</f>
        <v>55384</v>
      </c>
    </row>
    <row r="125" spans="3:30" ht="12.75" customHeight="1">
      <c r="C125" s="35"/>
      <c r="D125" s="120" t="s">
        <v>122</v>
      </c>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row>
    <row r="126" spans="3:30" ht="12.75" customHeight="1">
      <c r="C126" s="31">
        <v>3540</v>
      </c>
      <c r="D126" s="32" t="s">
        <v>85</v>
      </c>
      <c r="E126" s="20"/>
      <c r="F126" s="20"/>
      <c r="G126" s="20"/>
      <c r="H126" s="20"/>
      <c r="I126" s="33"/>
      <c r="J126" s="32">
        <f>ROUND(SUM(E126:H126),0)</f>
        <v>0</v>
      </c>
      <c r="K126" s="33"/>
      <c r="L126" s="20"/>
      <c r="M126" s="20"/>
      <c r="N126" s="20"/>
      <c r="O126" s="20"/>
      <c r="P126" s="196"/>
      <c r="Q126" s="196"/>
      <c r="R126" s="196"/>
      <c r="S126" s="20"/>
      <c r="T126" s="20"/>
      <c r="U126" s="20"/>
      <c r="V126" s="33"/>
      <c r="W126" s="20"/>
      <c r="X126" s="20"/>
      <c r="Y126" s="20"/>
      <c r="Z126" s="20"/>
      <c r="AA126" s="20"/>
      <c r="AB126" s="20"/>
      <c r="AC126" s="20"/>
      <c r="AD126" s="32">
        <f>ROUND(SUM(J126:AC126),0)</f>
        <v>0</v>
      </c>
    </row>
    <row r="127" spans="3:30" ht="12.75" customHeight="1">
      <c r="C127" s="31">
        <v>3541</v>
      </c>
      <c r="D127" s="32" t="s">
        <v>86</v>
      </c>
      <c r="E127" s="20">
        <v>4205</v>
      </c>
      <c r="F127" s="20"/>
      <c r="G127" s="20"/>
      <c r="H127" s="20"/>
      <c r="I127" s="33"/>
      <c r="J127" s="32">
        <f>ROUND(SUM(E127:H127),0)</f>
        <v>4205</v>
      </c>
      <c r="K127" s="33"/>
      <c r="L127" s="20"/>
      <c r="M127" s="20"/>
      <c r="N127" s="20"/>
      <c r="O127" s="20"/>
      <c r="P127" s="196"/>
      <c r="Q127" s="196"/>
      <c r="R127" s="196"/>
      <c r="S127" s="20"/>
      <c r="T127" s="20"/>
      <c r="U127" s="20"/>
      <c r="V127" s="33"/>
      <c r="W127" s="20"/>
      <c r="X127" s="20"/>
      <c r="Y127" s="20">
        <v>705</v>
      </c>
      <c r="Z127" s="20"/>
      <c r="AA127" s="20"/>
      <c r="AB127" s="20"/>
      <c r="AC127" s="20"/>
      <c r="AD127" s="32">
        <f>ROUND(SUM(J127:AC127),0)</f>
        <v>4910</v>
      </c>
    </row>
    <row r="128" spans="3:30" ht="12.75" customHeight="1">
      <c r="C128" s="31">
        <v>3542</v>
      </c>
      <c r="D128" s="32" t="s">
        <v>87</v>
      </c>
      <c r="E128" s="20"/>
      <c r="F128" s="20"/>
      <c r="G128" s="20"/>
      <c r="H128" s="20"/>
      <c r="I128" s="33"/>
      <c r="J128" s="32">
        <f>ROUND(SUM(E128:H128),0)</f>
        <v>0</v>
      </c>
      <c r="K128" s="33"/>
      <c r="L128" s="20"/>
      <c r="M128" s="20"/>
      <c r="N128" s="20"/>
      <c r="O128" s="20"/>
      <c r="P128" s="196"/>
      <c r="Q128" s="196"/>
      <c r="R128" s="196"/>
      <c r="S128" s="20"/>
      <c r="T128" s="20"/>
      <c r="U128" s="20"/>
      <c r="V128" s="33"/>
      <c r="W128" s="20"/>
      <c r="X128" s="20"/>
      <c r="Y128" s="20"/>
      <c r="Z128" s="20"/>
      <c r="AA128" s="20"/>
      <c r="AB128" s="20"/>
      <c r="AC128" s="20"/>
      <c r="AD128" s="32">
        <f>ROUND(SUM(J128:AC128),0)</f>
        <v>0</v>
      </c>
    </row>
    <row r="129" spans="3:30" ht="12.75" customHeight="1">
      <c r="C129" s="31">
        <v>3543</v>
      </c>
      <c r="D129" s="32" t="s">
        <v>88</v>
      </c>
      <c r="E129" s="20">
        <v>800</v>
      </c>
      <c r="F129" s="20"/>
      <c r="G129" s="20"/>
      <c r="H129" s="20"/>
      <c r="I129" s="33"/>
      <c r="J129" s="32">
        <f>ROUND(SUM(E129:H129),0)</f>
        <v>800</v>
      </c>
      <c r="K129" s="33"/>
      <c r="L129" s="20"/>
      <c r="M129" s="20">
        <v>18643</v>
      </c>
      <c r="N129" s="20"/>
      <c r="O129" s="20"/>
      <c r="P129" s="196"/>
      <c r="Q129" s="196"/>
      <c r="R129" s="196"/>
      <c r="S129" s="20"/>
      <c r="T129" s="20"/>
      <c r="U129" s="20"/>
      <c r="V129" s="33"/>
      <c r="W129" s="20"/>
      <c r="X129" s="20"/>
      <c r="Y129" s="20"/>
      <c r="Z129" s="20"/>
      <c r="AA129" s="20"/>
      <c r="AB129" s="20"/>
      <c r="AC129" s="20">
        <v>12995</v>
      </c>
      <c r="AD129" s="32">
        <f>ROUND(SUM(J129:AC129),0)</f>
        <v>32438</v>
      </c>
    </row>
    <row r="130" spans="3:30" ht="12.75" customHeight="1">
      <c r="C130" s="31">
        <v>3544</v>
      </c>
      <c r="D130" s="34" t="s">
        <v>89</v>
      </c>
      <c r="E130" s="32">
        <f>ROUND(SUM(E126:E129),0)</f>
        <v>5005</v>
      </c>
      <c r="F130" s="32">
        <f>ROUND(SUM(F126:F129),0)</f>
        <v>0</v>
      </c>
      <c r="G130" s="32">
        <f>ROUND(SUM(G126:G129),0)</f>
        <v>0</v>
      </c>
      <c r="H130" s="32">
        <f>ROUND(SUM(H126:H129),0)</f>
        <v>0</v>
      </c>
      <c r="I130" s="33"/>
      <c r="J130" s="32">
        <f>ROUND(SUM(E130:H130),0)</f>
        <v>5005</v>
      </c>
      <c r="K130" s="33"/>
      <c r="L130" s="32">
        <f t="shared" ref="L130:R130" si="40">ROUND(SUM(L126:L129),0)</f>
        <v>0</v>
      </c>
      <c r="M130" s="32">
        <v>18643</v>
      </c>
      <c r="N130" s="32">
        <f t="shared" si="40"/>
        <v>0</v>
      </c>
      <c r="O130" s="32">
        <f t="shared" si="40"/>
        <v>0</v>
      </c>
      <c r="P130" s="32">
        <f t="shared" si="40"/>
        <v>0</v>
      </c>
      <c r="Q130" s="32">
        <f t="shared" si="40"/>
        <v>0</v>
      </c>
      <c r="R130" s="32">
        <f t="shared" si="40"/>
        <v>0</v>
      </c>
      <c r="S130" s="32">
        <f t="shared" ref="S130:AB130" si="41">ROUND(SUM(S126:S129),0)</f>
        <v>0</v>
      </c>
      <c r="T130" s="32">
        <f t="shared" si="41"/>
        <v>0</v>
      </c>
      <c r="U130" s="32">
        <f t="shared" si="41"/>
        <v>0</v>
      </c>
      <c r="V130" s="33"/>
      <c r="W130" s="32">
        <f t="shared" si="41"/>
        <v>0</v>
      </c>
      <c r="X130" s="32">
        <f>ROUND(SUM(X126:X129),0)</f>
        <v>0</v>
      </c>
      <c r="Y130" s="32">
        <f t="shared" si="41"/>
        <v>705</v>
      </c>
      <c r="Z130" s="32">
        <f t="shared" si="41"/>
        <v>0</v>
      </c>
      <c r="AA130" s="32">
        <f t="shared" si="41"/>
        <v>0</v>
      </c>
      <c r="AB130" s="32">
        <f t="shared" si="41"/>
        <v>0</v>
      </c>
      <c r="AC130" s="32">
        <v>12905</v>
      </c>
      <c r="AD130" s="32">
        <f>ROUND(SUM(J130:AC130),0)</f>
        <v>37258</v>
      </c>
    </row>
    <row r="131" spans="3:30" ht="12.75" customHeight="1">
      <c r="C131" s="35"/>
      <c r="D131" s="120" t="s">
        <v>1104</v>
      </c>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row>
    <row r="132" spans="3:30" ht="12.75" customHeight="1">
      <c r="C132" s="31">
        <v>3545</v>
      </c>
      <c r="D132" s="32" t="s">
        <v>86</v>
      </c>
      <c r="E132" s="20">
        <v>18641.68</v>
      </c>
      <c r="F132" s="20"/>
      <c r="G132" s="20"/>
      <c r="H132" s="20"/>
      <c r="I132" s="33"/>
      <c r="J132" s="32">
        <f>ROUND(SUM(E132:H132),0)</f>
        <v>18642</v>
      </c>
      <c r="K132" s="33"/>
      <c r="L132" s="20"/>
      <c r="M132" s="20"/>
      <c r="N132" s="20"/>
      <c r="O132" s="20"/>
      <c r="P132" s="196"/>
      <c r="Q132" s="196"/>
      <c r="R132" s="196"/>
      <c r="S132" s="20"/>
      <c r="T132" s="20"/>
      <c r="U132" s="20"/>
      <c r="V132" s="33"/>
      <c r="W132" s="20"/>
      <c r="X132" s="20"/>
      <c r="Y132" s="20"/>
      <c r="Z132" s="20"/>
      <c r="AA132" s="20"/>
      <c r="AB132" s="20"/>
      <c r="AC132" s="20"/>
      <c r="AD132" s="32">
        <f>ROUND(SUM(J132:AC132),0)</f>
        <v>18642</v>
      </c>
    </row>
    <row r="133" spans="3:30" ht="12.75" customHeight="1">
      <c r="C133" s="31">
        <v>3546</v>
      </c>
      <c r="D133" s="32" t="s">
        <v>87</v>
      </c>
      <c r="E133" s="20">
        <v>10363.799999999999</v>
      </c>
      <c r="F133" s="20"/>
      <c r="G133" s="20"/>
      <c r="H133" s="20"/>
      <c r="I133" s="33"/>
      <c r="J133" s="32">
        <f>ROUND(SUM(E133:H133),0)</f>
        <v>10364</v>
      </c>
      <c r="K133" s="33"/>
      <c r="L133" s="20"/>
      <c r="M133" s="20"/>
      <c r="N133" s="20"/>
      <c r="O133" s="20"/>
      <c r="P133" s="196"/>
      <c r="Q133" s="196"/>
      <c r="R133" s="196"/>
      <c r="S133" s="20"/>
      <c r="T133" s="20"/>
      <c r="U133" s="20"/>
      <c r="V133" s="33"/>
      <c r="W133" s="20"/>
      <c r="X133" s="20"/>
      <c r="Y133" s="20"/>
      <c r="Z133" s="20"/>
      <c r="AA133" s="20"/>
      <c r="AB133" s="20"/>
      <c r="AC133" s="20"/>
      <c r="AD133" s="32">
        <f>ROUND(SUM(J133:AC133),0)</f>
        <v>10364</v>
      </c>
    </row>
    <row r="134" spans="3:30" ht="12.75" customHeight="1">
      <c r="C134" s="31">
        <v>3547</v>
      </c>
      <c r="D134" s="32" t="s">
        <v>88</v>
      </c>
      <c r="E134" s="20"/>
      <c r="F134" s="20"/>
      <c r="G134" s="20"/>
      <c r="H134" s="20"/>
      <c r="I134" s="33"/>
      <c r="J134" s="32">
        <f>ROUND(SUM(E134:H134),0)</f>
        <v>0</v>
      </c>
      <c r="K134" s="33"/>
      <c r="L134" s="20"/>
      <c r="M134" s="20"/>
      <c r="N134" s="20"/>
      <c r="O134" s="20"/>
      <c r="P134" s="196"/>
      <c r="Q134" s="196"/>
      <c r="R134" s="196"/>
      <c r="S134" s="20"/>
      <c r="T134" s="20"/>
      <c r="U134" s="20"/>
      <c r="V134" s="33"/>
      <c r="W134" s="20"/>
      <c r="X134" s="20"/>
      <c r="Y134" s="20"/>
      <c r="Z134" s="20"/>
      <c r="AA134" s="20"/>
      <c r="AB134" s="20"/>
      <c r="AC134" s="20"/>
      <c r="AD134" s="32">
        <f>ROUND(SUM(J134:AC134),0)</f>
        <v>0</v>
      </c>
    </row>
    <row r="135" spans="3:30" ht="12.75" customHeight="1">
      <c r="C135" s="31">
        <v>3548</v>
      </c>
      <c r="D135" s="34" t="s">
        <v>89</v>
      </c>
      <c r="E135" s="32">
        <f>ROUND(SUM(E132:E134),0)</f>
        <v>29005</v>
      </c>
      <c r="F135" s="32">
        <f>ROUND(SUM(F132:F134),0)</f>
        <v>0</v>
      </c>
      <c r="G135" s="32">
        <f>ROUND(SUM(G132:G134),0)</f>
        <v>0</v>
      </c>
      <c r="H135" s="32">
        <f>ROUND(SUM(H132:H134),0)</f>
        <v>0</v>
      </c>
      <c r="I135" s="33"/>
      <c r="J135" s="32">
        <f>ROUND(SUM(E135:H135),0)</f>
        <v>29005</v>
      </c>
      <c r="K135" s="33"/>
      <c r="L135" s="32">
        <f t="shared" ref="L135:R135" si="42">ROUND(SUM(L132:L134),0)</f>
        <v>0</v>
      </c>
      <c r="M135" s="32">
        <f t="shared" si="42"/>
        <v>0</v>
      </c>
      <c r="N135" s="32">
        <f t="shared" si="42"/>
        <v>0</v>
      </c>
      <c r="O135" s="32">
        <f t="shared" si="42"/>
        <v>0</v>
      </c>
      <c r="P135" s="32">
        <f t="shared" si="42"/>
        <v>0</v>
      </c>
      <c r="Q135" s="32">
        <f t="shared" si="42"/>
        <v>0</v>
      </c>
      <c r="R135" s="32">
        <f t="shared" si="42"/>
        <v>0</v>
      </c>
      <c r="S135" s="32">
        <f t="shared" ref="S135:AC135" si="43">ROUND(SUM(S132:S134),0)</f>
        <v>0</v>
      </c>
      <c r="T135" s="32">
        <f t="shared" si="43"/>
        <v>0</v>
      </c>
      <c r="U135" s="32">
        <f t="shared" si="43"/>
        <v>0</v>
      </c>
      <c r="V135" s="33"/>
      <c r="W135" s="32">
        <f t="shared" si="43"/>
        <v>0</v>
      </c>
      <c r="X135" s="32">
        <f>ROUND(SUM(X132:X134),0)</f>
        <v>0</v>
      </c>
      <c r="Y135" s="32">
        <f t="shared" si="43"/>
        <v>0</v>
      </c>
      <c r="Z135" s="32">
        <f t="shared" si="43"/>
        <v>0</v>
      </c>
      <c r="AA135" s="32">
        <f t="shared" si="43"/>
        <v>0</v>
      </c>
      <c r="AB135" s="32">
        <f t="shared" si="43"/>
        <v>0</v>
      </c>
      <c r="AC135" s="32">
        <f t="shared" si="43"/>
        <v>0</v>
      </c>
      <c r="AD135" s="32">
        <f>ROUND(SUM(J135:AC135),0)</f>
        <v>29005</v>
      </c>
    </row>
    <row r="136" spans="3:30" ht="12.75" customHeight="1">
      <c r="C136" s="35"/>
      <c r="D136" s="120" t="s">
        <v>124</v>
      </c>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row>
    <row r="137" spans="3:30" ht="12.75" customHeight="1">
      <c r="C137" s="31">
        <v>3549</v>
      </c>
      <c r="D137" s="32" t="s">
        <v>86</v>
      </c>
      <c r="E137" s="20"/>
      <c r="F137" s="20"/>
      <c r="G137" s="20"/>
      <c r="H137" s="20"/>
      <c r="I137" s="33"/>
      <c r="J137" s="32">
        <f>ROUND(SUM(E137:H137),0)</f>
        <v>0</v>
      </c>
      <c r="K137" s="33"/>
      <c r="L137" s="20"/>
      <c r="M137" s="20"/>
      <c r="N137" s="20"/>
      <c r="O137" s="20"/>
      <c r="P137" s="196"/>
      <c r="Q137" s="196"/>
      <c r="R137" s="196"/>
      <c r="S137" s="20"/>
      <c r="T137" s="20"/>
      <c r="U137" s="20"/>
      <c r="V137" s="33"/>
      <c r="W137" s="20"/>
      <c r="X137" s="20"/>
      <c r="Y137" s="20"/>
      <c r="Z137" s="20"/>
      <c r="AA137" s="20"/>
      <c r="AB137" s="20"/>
      <c r="AC137" s="20"/>
      <c r="AD137" s="32">
        <f>ROUND(SUM(J137:AC137),0)</f>
        <v>0</v>
      </c>
    </row>
    <row r="138" spans="3:30" ht="12.75" customHeight="1">
      <c r="C138" s="31">
        <v>3550</v>
      </c>
      <c r="D138" s="32" t="s">
        <v>87</v>
      </c>
      <c r="E138" s="20"/>
      <c r="F138" s="20"/>
      <c r="G138" s="20"/>
      <c r="H138" s="20"/>
      <c r="I138" s="33"/>
      <c r="J138" s="32">
        <f>ROUND(SUM(E138:H138),0)</f>
        <v>0</v>
      </c>
      <c r="K138" s="33"/>
      <c r="L138" s="20"/>
      <c r="M138" s="20"/>
      <c r="N138" s="20"/>
      <c r="O138" s="20"/>
      <c r="P138" s="196"/>
      <c r="Q138" s="196"/>
      <c r="R138" s="196"/>
      <c r="S138" s="20"/>
      <c r="T138" s="20"/>
      <c r="U138" s="20"/>
      <c r="V138" s="33"/>
      <c r="W138" s="20"/>
      <c r="X138" s="20"/>
      <c r="Y138" s="20"/>
      <c r="Z138" s="20"/>
      <c r="AA138" s="20">
        <v>50000</v>
      </c>
      <c r="AB138" s="20"/>
      <c r="AC138" s="20"/>
      <c r="AD138" s="32">
        <f>ROUND(SUM(J138:AC138),0)</f>
        <v>50000</v>
      </c>
    </row>
    <row r="139" spans="3:30" ht="12.75" customHeight="1">
      <c r="C139" s="31">
        <v>3551</v>
      </c>
      <c r="D139" s="32" t="s">
        <v>88</v>
      </c>
      <c r="E139" s="20"/>
      <c r="F139" s="20"/>
      <c r="G139" s="20"/>
      <c r="H139" s="20"/>
      <c r="I139" s="33"/>
      <c r="J139" s="32">
        <f>ROUND(SUM(E139:H139),0)</f>
        <v>0</v>
      </c>
      <c r="K139" s="33"/>
      <c r="L139" s="20"/>
      <c r="M139" s="20"/>
      <c r="N139" s="20"/>
      <c r="O139" s="20"/>
      <c r="P139" s="196"/>
      <c r="Q139" s="196"/>
      <c r="R139" s="196"/>
      <c r="S139" s="20"/>
      <c r="T139" s="20"/>
      <c r="U139" s="20"/>
      <c r="V139" s="33"/>
      <c r="W139" s="20"/>
      <c r="X139" s="20"/>
      <c r="Y139" s="20"/>
      <c r="Z139" s="20"/>
      <c r="AA139" s="20"/>
      <c r="AB139" s="20"/>
      <c r="AC139" s="20"/>
      <c r="AD139" s="32">
        <f>ROUND(SUM(J139:AC139),0)</f>
        <v>0</v>
      </c>
    </row>
    <row r="140" spans="3:30" ht="12.75" customHeight="1">
      <c r="C140" s="31">
        <v>3552</v>
      </c>
      <c r="D140" s="34" t="s">
        <v>89</v>
      </c>
      <c r="E140" s="32">
        <f>ROUND(SUM(E137:E139),0)</f>
        <v>0</v>
      </c>
      <c r="F140" s="32">
        <f>ROUND(SUM(F137:F139),0)</f>
        <v>0</v>
      </c>
      <c r="G140" s="32">
        <f>ROUND(SUM(G137:G139),0)</f>
        <v>0</v>
      </c>
      <c r="H140" s="32">
        <f>ROUND(SUM(H137:H139),0)</f>
        <v>0</v>
      </c>
      <c r="I140" s="33"/>
      <c r="J140" s="32">
        <f>ROUND(SUM(E140:H140),0)</f>
        <v>0</v>
      </c>
      <c r="K140" s="33"/>
      <c r="L140" s="32">
        <f t="shared" ref="L140:R140" si="44">ROUND(SUM(L137:L139),0)</f>
        <v>0</v>
      </c>
      <c r="M140" s="32">
        <f t="shared" si="44"/>
        <v>0</v>
      </c>
      <c r="N140" s="32">
        <f t="shared" si="44"/>
        <v>0</v>
      </c>
      <c r="O140" s="32">
        <f t="shared" si="44"/>
        <v>0</v>
      </c>
      <c r="P140" s="32">
        <f t="shared" si="44"/>
        <v>0</v>
      </c>
      <c r="Q140" s="32">
        <f t="shared" si="44"/>
        <v>0</v>
      </c>
      <c r="R140" s="32">
        <f t="shared" si="44"/>
        <v>0</v>
      </c>
      <c r="S140" s="32">
        <f t="shared" ref="S140:AC140" si="45">ROUND(SUM(S137:S139),0)</f>
        <v>0</v>
      </c>
      <c r="T140" s="32">
        <f t="shared" si="45"/>
        <v>0</v>
      </c>
      <c r="U140" s="32">
        <f t="shared" si="45"/>
        <v>0</v>
      </c>
      <c r="V140" s="33"/>
      <c r="W140" s="32">
        <f t="shared" si="45"/>
        <v>0</v>
      </c>
      <c r="X140" s="32">
        <f>ROUND(SUM(X137:X139),0)</f>
        <v>0</v>
      </c>
      <c r="Y140" s="32">
        <f t="shared" si="45"/>
        <v>0</v>
      </c>
      <c r="Z140" s="32">
        <f t="shared" si="45"/>
        <v>0</v>
      </c>
      <c r="AA140" s="32">
        <f t="shared" si="45"/>
        <v>50000</v>
      </c>
      <c r="AB140" s="32">
        <f t="shared" si="45"/>
        <v>0</v>
      </c>
      <c r="AC140" s="32">
        <f t="shared" si="45"/>
        <v>0</v>
      </c>
      <c r="AD140" s="32">
        <f>ROUND(SUM(J140:AC140),0)</f>
        <v>50000</v>
      </c>
    </row>
    <row r="141" spans="3:30" ht="12.75" customHeight="1">
      <c r="C141" s="35"/>
      <c r="D141" s="120" t="s">
        <v>125</v>
      </c>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row>
    <row r="142" spans="3:30" ht="12.75" customHeight="1">
      <c r="C142" s="31">
        <v>3553</v>
      </c>
      <c r="D142" s="32" t="s">
        <v>86</v>
      </c>
      <c r="E142" s="20"/>
      <c r="F142" s="20"/>
      <c r="G142" s="20"/>
      <c r="H142" s="20"/>
      <c r="I142" s="33"/>
      <c r="J142" s="32">
        <f>ROUND(SUM(E142:H142),0)</f>
        <v>0</v>
      </c>
      <c r="K142" s="33"/>
      <c r="L142" s="20"/>
      <c r="M142" s="20"/>
      <c r="N142" s="20"/>
      <c r="O142" s="20"/>
      <c r="P142" s="196"/>
      <c r="Q142" s="196"/>
      <c r="R142" s="196"/>
      <c r="S142" s="20"/>
      <c r="T142" s="20"/>
      <c r="U142" s="20"/>
      <c r="V142" s="33"/>
      <c r="W142" s="20"/>
      <c r="X142" s="20"/>
      <c r="Y142" s="20"/>
      <c r="Z142" s="20"/>
      <c r="AA142" s="20"/>
      <c r="AB142" s="20"/>
      <c r="AC142" s="20"/>
      <c r="AD142" s="32">
        <f>ROUND(SUM(J142:AC142),0)</f>
        <v>0</v>
      </c>
    </row>
    <row r="143" spans="3:30" ht="12.75" customHeight="1">
      <c r="C143" s="31">
        <v>3554</v>
      </c>
      <c r="D143" s="32" t="s">
        <v>87</v>
      </c>
      <c r="E143" s="20"/>
      <c r="F143" s="20"/>
      <c r="G143" s="20"/>
      <c r="H143" s="20"/>
      <c r="I143" s="33"/>
      <c r="J143" s="32">
        <f>ROUND(SUM(E143:H143),0)</f>
        <v>0</v>
      </c>
      <c r="K143" s="33"/>
      <c r="L143" s="20"/>
      <c r="M143" s="20"/>
      <c r="N143" s="20"/>
      <c r="O143" s="20"/>
      <c r="P143" s="196"/>
      <c r="Q143" s="196"/>
      <c r="R143" s="196"/>
      <c r="S143" s="20"/>
      <c r="T143" s="20"/>
      <c r="U143" s="20"/>
      <c r="V143" s="33"/>
      <c r="W143" s="20"/>
      <c r="X143" s="20"/>
      <c r="Y143" s="20"/>
      <c r="Z143" s="20"/>
      <c r="AA143" s="20"/>
      <c r="AB143" s="20"/>
      <c r="AC143" s="20"/>
      <c r="AD143" s="32">
        <f>ROUND(SUM(J143:AC143),0)</f>
        <v>0</v>
      </c>
    </row>
    <row r="144" spans="3:30" ht="12.75" customHeight="1">
      <c r="C144" s="31">
        <v>3555</v>
      </c>
      <c r="D144" s="32" t="s">
        <v>88</v>
      </c>
      <c r="E144" s="20"/>
      <c r="F144" s="20"/>
      <c r="G144" s="20"/>
      <c r="H144" s="20"/>
      <c r="I144" s="33"/>
      <c r="J144" s="32">
        <f>ROUND(SUM(E144:H144),0)</f>
        <v>0</v>
      </c>
      <c r="K144" s="33"/>
      <c r="L144" s="20"/>
      <c r="M144" s="20"/>
      <c r="N144" s="20"/>
      <c r="O144" s="20"/>
      <c r="P144" s="196"/>
      <c r="Q144" s="196"/>
      <c r="R144" s="196"/>
      <c r="S144" s="20"/>
      <c r="T144" s="20"/>
      <c r="U144" s="20"/>
      <c r="V144" s="33"/>
      <c r="W144" s="20"/>
      <c r="X144" s="20"/>
      <c r="Y144" s="20"/>
      <c r="Z144" s="20"/>
      <c r="AA144" s="20"/>
      <c r="AB144" s="20"/>
      <c r="AC144" s="20"/>
      <c r="AD144" s="32">
        <f>ROUND(SUM(J144:AC144),0)</f>
        <v>0</v>
      </c>
    </row>
    <row r="145" spans="3:30" ht="12.75" customHeight="1">
      <c r="C145" s="31">
        <v>3556</v>
      </c>
      <c r="D145" s="34" t="s">
        <v>89</v>
      </c>
      <c r="E145" s="32">
        <f>ROUND(SUM(E142:E144),0)</f>
        <v>0</v>
      </c>
      <c r="F145" s="32">
        <f>ROUND(SUM(F142:F144),0)</f>
        <v>0</v>
      </c>
      <c r="G145" s="32">
        <f>ROUND(SUM(G142:G144),0)</f>
        <v>0</v>
      </c>
      <c r="H145" s="32">
        <f>ROUND(SUM(H142:H144),0)</f>
        <v>0</v>
      </c>
      <c r="I145" s="33"/>
      <c r="J145" s="32">
        <f>ROUND(SUM(E145:H145),0)</f>
        <v>0</v>
      </c>
      <c r="K145" s="33"/>
      <c r="L145" s="32">
        <f t="shared" ref="L145:T145" si="46">ROUND(SUM(L142:L144),0)</f>
        <v>0</v>
      </c>
      <c r="M145" s="32">
        <f t="shared" si="46"/>
        <v>0</v>
      </c>
      <c r="N145" s="32">
        <f t="shared" si="46"/>
        <v>0</v>
      </c>
      <c r="O145" s="32">
        <f t="shared" si="46"/>
        <v>0</v>
      </c>
      <c r="P145" s="32">
        <f t="shared" si="46"/>
        <v>0</v>
      </c>
      <c r="Q145" s="32">
        <f>ROUND(SUM(Q142:Q144),0)</f>
        <v>0</v>
      </c>
      <c r="R145" s="32">
        <f>ROUND(SUM(R142:R144),0)</f>
        <v>0</v>
      </c>
      <c r="S145" s="32">
        <f t="shared" si="46"/>
        <v>0</v>
      </c>
      <c r="T145" s="32">
        <f t="shared" si="46"/>
        <v>0</v>
      </c>
      <c r="U145" s="32">
        <f t="shared" ref="U145:AC145" si="47">ROUND(SUM(U142:U144),0)</f>
        <v>0</v>
      </c>
      <c r="V145" s="33"/>
      <c r="W145" s="32">
        <f t="shared" si="47"/>
        <v>0</v>
      </c>
      <c r="X145" s="32">
        <f>ROUND(SUM(X142:X144),0)</f>
        <v>0</v>
      </c>
      <c r="Y145" s="32">
        <f t="shared" si="47"/>
        <v>0</v>
      </c>
      <c r="Z145" s="32">
        <f t="shared" si="47"/>
        <v>0</v>
      </c>
      <c r="AA145" s="32">
        <f t="shared" si="47"/>
        <v>0</v>
      </c>
      <c r="AB145" s="32">
        <f t="shared" si="47"/>
        <v>0</v>
      </c>
      <c r="AC145" s="32">
        <f t="shared" si="47"/>
        <v>0</v>
      </c>
      <c r="AD145" s="32">
        <f>ROUND(SUM(J145:AC145),0)</f>
        <v>0</v>
      </c>
    </row>
    <row r="146" spans="3:30" ht="12.75" customHeight="1">
      <c r="C146" s="35"/>
      <c r="D146" s="120" t="s">
        <v>293</v>
      </c>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row>
    <row r="147" spans="3:30" ht="12.75" customHeight="1">
      <c r="C147" s="31">
        <v>3561</v>
      </c>
      <c r="D147" s="32" t="s">
        <v>91</v>
      </c>
      <c r="E147" s="20">
        <v>324799</v>
      </c>
      <c r="F147" s="20"/>
      <c r="G147" s="20"/>
      <c r="H147" s="20"/>
      <c r="I147" s="33"/>
      <c r="J147" s="32">
        <f t="shared" ref="J147:J152" si="48">ROUND(SUM(E147:H147),0)</f>
        <v>324799</v>
      </c>
      <c r="K147" s="33"/>
      <c r="L147" s="20"/>
      <c r="M147" s="20"/>
      <c r="N147" s="20"/>
      <c r="O147" s="20">
        <v>50533.9</v>
      </c>
      <c r="P147" s="196">
        <v>378271.07</v>
      </c>
      <c r="Q147" s="196"/>
      <c r="R147" s="196"/>
      <c r="S147" s="20"/>
      <c r="T147" s="20"/>
      <c r="U147" s="20"/>
      <c r="V147" s="33"/>
      <c r="W147" s="20"/>
      <c r="X147" s="20"/>
      <c r="Y147" s="20"/>
      <c r="Z147" s="20"/>
      <c r="AA147" s="20"/>
      <c r="AB147" s="20"/>
      <c r="AC147" s="20"/>
      <c r="AD147" s="32">
        <f t="shared" ref="AD147:AD153" si="49">ROUND(SUM(J147:AC147),0)</f>
        <v>753604</v>
      </c>
    </row>
    <row r="148" spans="3:30" ht="12.75" customHeight="1">
      <c r="C148" s="31">
        <v>3562</v>
      </c>
      <c r="D148" s="32" t="s">
        <v>84</v>
      </c>
      <c r="E148" s="20">
        <v>38864.720000000001</v>
      </c>
      <c r="F148" s="20"/>
      <c r="G148" s="20"/>
      <c r="H148" s="20"/>
      <c r="I148" s="33"/>
      <c r="J148" s="32">
        <f t="shared" si="48"/>
        <v>38865</v>
      </c>
      <c r="K148" s="33"/>
      <c r="L148" s="20"/>
      <c r="M148" s="20"/>
      <c r="N148" s="20"/>
      <c r="O148" s="20"/>
      <c r="P148" s="196"/>
      <c r="Q148" s="196"/>
      <c r="R148" s="196"/>
      <c r="S148" s="20"/>
      <c r="T148" s="20"/>
      <c r="U148" s="20"/>
      <c r="V148" s="33"/>
      <c r="W148" s="20"/>
      <c r="X148" s="20"/>
      <c r="Y148" s="20"/>
      <c r="Z148" s="20"/>
      <c r="AA148" s="20"/>
      <c r="AB148" s="20"/>
      <c r="AC148" s="20"/>
      <c r="AD148" s="32">
        <f t="shared" si="49"/>
        <v>38865</v>
      </c>
    </row>
    <row r="149" spans="3:30" ht="12.75" customHeight="1">
      <c r="C149" s="31">
        <v>3563</v>
      </c>
      <c r="D149" s="32" t="s">
        <v>85</v>
      </c>
      <c r="E149" s="20">
        <v>5431.53</v>
      </c>
      <c r="F149" s="20"/>
      <c r="G149" s="20"/>
      <c r="H149" s="20"/>
      <c r="I149" s="33"/>
      <c r="J149" s="32">
        <f t="shared" si="48"/>
        <v>5432</v>
      </c>
      <c r="K149" s="33"/>
      <c r="L149" s="20"/>
      <c r="M149" s="20"/>
      <c r="N149" s="20"/>
      <c r="O149" s="20"/>
      <c r="P149" s="196"/>
      <c r="Q149" s="196"/>
      <c r="R149" s="196"/>
      <c r="S149" s="20"/>
      <c r="T149" s="20"/>
      <c r="U149" s="20"/>
      <c r="V149" s="33"/>
      <c r="W149" s="20"/>
      <c r="X149" s="20"/>
      <c r="Y149" s="20"/>
      <c r="Z149" s="20"/>
      <c r="AA149" s="20"/>
      <c r="AB149" s="20"/>
      <c r="AC149" s="20"/>
      <c r="AD149" s="32">
        <f t="shared" si="49"/>
        <v>5432</v>
      </c>
    </row>
    <row r="150" spans="3:30" ht="12.75" customHeight="1">
      <c r="C150" s="31">
        <v>3564</v>
      </c>
      <c r="D150" s="32" t="s">
        <v>86</v>
      </c>
      <c r="E150" s="20">
        <v>13887.26</v>
      </c>
      <c r="F150" s="20"/>
      <c r="G150" s="20"/>
      <c r="H150" s="20"/>
      <c r="I150" s="33"/>
      <c r="J150" s="32">
        <f t="shared" si="48"/>
        <v>13887</v>
      </c>
      <c r="K150" s="33"/>
      <c r="L150" s="20"/>
      <c r="M150" s="20"/>
      <c r="N150" s="20"/>
      <c r="O150" s="20"/>
      <c r="P150" s="196"/>
      <c r="Q150" s="196"/>
      <c r="R150" s="196"/>
      <c r="S150" s="20"/>
      <c r="T150" s="20"/>
      <c r="U150" s="20"/>
      <c r="V150" s="33"/>
      <c r="W150" s="20"/>
      <c r="X150" s="20"/>
      <c r="Y150" s="20"/>
      <c r="Z150" s="20"/>
      <c r="AA150" s="20"/>
      <c r="AB150" s="20"/>
      <c r="AC150" s="20"/>
      <c r="AD150" s="32">
        <f t="shared" si="49"/>
        <v>13887</v>
      </c>
    </row>
    <row r="151" spans="3:30" ht="12.75" customHeight="1">
      <c r="C151" s="31">
        <v>3565</v>
      </c>
      <c r="D151" s="32" t="s">
        <v>87</v>
      </c>
      <c r="E151" s="20">
        <v>4435.58</v>
      </c>
      <c r="F151" s="20"/>
      <c r="G151" s="20"/>
      <c r="H151" s="20"/>
      <c r="I151" s="33"/>
      <c r="J151" s="32">
        <f t="shared" si="48"/>
        <v>4436</v>
      </c>
      <c r="K151" s="33"/>
      <c r="L151" s="20"/>
      <c r="M151" s="20"/>
      <c r="N151" s="20"/>
      <c r="O151" s="20"/>
      <c r="P151" s="196"/>
      <c r="Q151" s="196"/>
      <c r="R151" s="196"/>
      <c r="S151" s="20"/>
      <c r="T151" s="20"/>
      <c r="U151" s="20"/>
      <c r="V151" s="33"/>
      <c r="W151" s="20"/>
      <c r="X151" s="20"/>
      <c r="Y151" s="20"/>
      <c r="Z151" s="20"/>
      <c r="AA151" s="20"/>
      <c r="AB151" s="20"/>
      <c r="AC151" s="20"/>
      <c r="AD151" s="32">
        <f t="shared" si="49"/>
        <v>4436</v>
      </c>
    </row>
    <row r="152" spans="3:30" ht="12.75" customHeight="1">
      <c r="C152" s="31">
        <v>3566</v>
      </c>
      <c r="D152" s="32" t="s">
        <v>88</v>
      </c>
      <c r="E152" s="20"/>
      <c r="F152" s="20"/>
      <c r="G152" s="20"/>
      <c r="H152" s="20"/>
      <c r="I152" s="33"/>
      <c r="J152" s="32">
        <f t="shared" si="48"/>
        <v>0</v>
      </c>
      <c r="K152" s="33"/>
      <c r="L152" s="20"/>
      <c r="M152" s="20"/>
      <c r="N152" s="20"/>
      <c r="O152" s="20"/>
      <c r="P152" s="196"/>
      <c r="Q152" s="196"/>
      <c r="R152" s="196"/>
      <c r="S152" s="20"/>
      <c r="T152" s="20"/>
      <c r="U152" s="20"/>
      <c r="V152" s="33"/>
      <c r="W152" s="20"/>
      <c r="X152" s="20"/>
      <c r="Y152" s="20"/>
      <c r="Z152" s="20"/>
      <c r="AA152" s="20"/>
      <c r="AB152" s="20"/>
      <c r="AC152" s="20"/>
      <c r="AD152" s="32">
        <f t="shared" si="49"/>
        <v>0</v>
      </c>
    </row>
    <row r="153" spans="3:30" ht="12.75" customHeight="1">
      <c r="C153" s="31">
        <v>3569</v>
      </c>
      <c r="D153" s="34" t="s">
        <v>89</v>
      </c>
      <c r="E153" s="32">
        <f>ROUND(SUM(E147:E152),0)</f>
        <v>387418</v>
      </c>
      <c r="F153" s="32">
        <f>ROUND(SUM(F147:F152),0)</f>
        <v>0</v>
      </c>
      <c r="G153" s="32">
        <f>ROUND(SUM(G147:G152),0)</f>
        <v>0</v>
      </c>
      <c r="H153" s="32">
        <f>ROUND(SUM(H147:H152),0)</f>
        <v>0</v>
      </c>
      <c r="I153" s="33"/>
      <c r="J153" s="32">
        <f>ROUND(SUM(E153:H153),0)</f>
        <v>387418</v>
      </c>
      <c r="K153" s="33"/>
      <c r="L153" s="32">
        <f t="shared" ref="L153:R153" si="50">ROUND(SUM(L147:L152),0)</f>
        <v>0</v>
      </c>
      <c r="M153" s="32">
        <f t="shared" si="50"/>
        <v>0</v>
      </c>
      <c r="N153" s="32">
        <f t="shared" si="50"/>
        <v>0</v>
      </c>
      <c r="O153" s="32">
        <f t="shared" si="50"/>
        <v>50534</v>
      </c>
      <c r="P153" s="32">
        <f t="shared" si="50"/>
        <v>378271</v>
      </c>
      <c r="Q153" s="32">
        <f t="shared" si="50"/>
        <v>0</v>
      </c>
      <c r="R153" s="32">
        <f t="shared" si="50"/>
        <v>0</v>
      </c>
      <c r="S153" s="32">
        <f t="shared" ref="S153:AC153" si="51">ROUND(SUM(S147:S152),0)</f>
        <v>0</v>
      </c>
      <c r="T153" s="32">
        <f t="shared" si="51"/>
        <v>0</v>
      </c>
      <c r="U153" s="32">
        <f t="shared" si="51"/>
        <v>0</v>
      </c>
      <c r="V153" s="33"/>
      <c r="W153" s="32">
        <f t="shared" si="51"/>
        <v>0</v>
      </c>
      <c r="X153" s="32">
        <f>ROUND(SUM(X147:X152),0)</f>
        <v>0</v>
      </c>
      <c r="Y153" s="32">
        <f t="shared" si="51"/>
        <v>0</v>
      </c>
      <c r="Z153" s="32">
        <f t="shared" si="51"/>
        <v>0</v>
      </c>
      <c r="AA153" s="32">
        <f t="shared" si="51"/>
        <v>0</v>
      </c>
      <c r="AB153" s="32">
        <f t="shared" si="51"/>
        <v>0</v>
      </c>
      <c r="AC153" s="32">
        <f t="shared" si="51"/>
        <v>0</v>
      </c>
      <c r="AD153" s="32">
        <f t="shared" si="49"/>
        <v>816223</v>
      </c>
    </row>
    <row r="154" spans="3:30" ht="12.75" customHeight="1">
      <c r="C154" s="35"/>
      <c r="D154" s="120" t="s">
        <v>127</v>
      </c>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row>
    <row r="155" spans="3:30" ht="12.75" customHeight="1">
      <c r="C155" s="31">
        <v>3571</v>
      </c>
      <c r="D155" s="32" t="s">
        <v>91</v>
      </c>
      <c r="E155" s="20"/>
      <c r="F155" s="20"/>
      <c r="G155" s="20"/>
      <c r="H155" s="20"/>
      <c r="I155" s="33"/>
      <c r="J155" s="32">
        <f t="shared" ref="J155:J161" si="52">ROUND(SUM(E155:H155),0)</f>
        <v>0</v>
      </c>
      <c r="K155" s="33"/>
      <c r="L155" s="20"/>
      <c r="M155" s="20"/>
      <c r="N155" s="20"/>
      <c r="O155" s="20"/>
      <c r="P155" s="196"/>
      <c r="Q155" s="196"/>
      <c r="R155" s="196"/>
      <c r="S155" s="20"/>
      <c r="T155" s="20"/>
      <c r="U155" s="20"/>
      <c r="V155" s="33"/>
      <c r="W155" s="20"/>
      <c r="X155" s="20"/>
      <c r="Y155" s="20"/>
      <c r="Z155" s="20"/>
      <c r="AA155" s="20"/>
      <c r="AB155" s="20"/>
      <c r="AC155" s="20"/>
      <c r="AD155" s="32">
        <f t="shared" ref="AD155:AD161" si="53">ROUND(SUM(J155:AC155),0)</f>
        <v>0</v>
      </c>
    </row>
    <row r="156" spans="3:30" ht="12.75" customHeight="1">
      <c r="C156" s="31">
        <v>3572</v>
      </c>
      <c r="D156" s="32" t="s">
        <v>84</v>
      </c>
      <c r="E156" s="20"/>
      <c r="F156" s="20"/>
      <c r="G156" s="20"/>
      <c r="H156" s="20"/>
      <c r="I156" s="33"/>
      <c r="J156" s="32">
        <f t="shared" si="52"/>
        <v>0</v>
      </c>
      <c r="K156" s="33"/>
      <c r="L156" s="20"/>
      <c r="M156" s="20"/>
      <c r="N156" s="20"/>
      <c r="O156" s="20"/>
      <c r="P156" s="196"/>
      <c r="Q156" s="196"/>
      <c r="R156" s="196"/>
      <c r="S156" s="20"/>
      <c r="T156" s="20"/>
      <c r="U156" s="20"/>
      <c r="V156" s="33"/>
      <c r="W156" s="20"/>
      <c r="X156" s="20"/>
      <c r="Y156" s="20"/>
      <c r="Z156" s="20"/>
      <c r="AA156" s="20"/>
      <c r="AB156" s="20"/>
      <c r="AC156" s="20"/>
      <c r="AD156" s="32">
        <f t="shared" si="53"/>
        <v>0</v>
      </c>
    </row>
    <row r="157" spans="3:30" ht="12.75" customHeight="1">
      <c r="C157" s="31">
        <v>3573</v>
      </c>
      <c r="D157" s="32" t="s">
        <v>85</v>
      </c>
      <c r="E157" s="20"/>
      <c r="F157" s="20"/>
      <c r="G157" s="20"/>
      <c r="H157" s="20"/>
      <c r="I157" s="33"/>
      <c r="J157" s="32">
        <f t="shared" si="52"/>
        <v>0</v>
      </c>
      <c r="K157" s="33"/>
      <c r="L157" s="20"/>
      <c r="M157" s="20"/>
      <c r="N157" s="20"/>
      <c r="O157" s="20"/>
      <c r="P157" s="196"/>
      <c r="Q157" s="196"/>
      <c r="R157" s="196"/>
      <c r="S157" s="20"/>
      <c r="T157" s="20"/>
      <c r="U157" s="20"/>
      <c r="V157" s="33"/>
      <c r="W157" s="20"/>
      <c r="X157" s="20"/>
      <c r="Y157" s="20"/>
      <c r="Z157" s="20"/>
      <c r="AA157" s="20"/>
      <c r="AB157" s="20"/>
      <c r="AC157" s="20"/>
      <c r="AD157" s="32">
        <f t="shared" si="53"/>
        <v>0</v>
      </c>
    </row>
    <row r="158" spans="3:30" ht="12.75" customHeight="1">
      <c r="C158" s="31">
        <v>3574</v>
      </c>
      <c r="D158" s="32" t="s">
        <v>86</v>
      </c>
      <c r="E158" s="20"/>
      <c r="F158" s="20"/>
      <c r="G158" s="20"/>
      <c r="H158" s="20"/>
      <c r="I158" s="33"/>
      <c r="J158" s="32">
        <f t="shared" si="52"/>
        <v>0</v>
      </c>
      <c r="K158" s="33"/>
      <c r="L158" s="20"/>
      <c r="M158" s="20"/>
      <c r="N158" s="20"/>
      <c r="O158" s="20"/>
      <c r="P158" s="196"/>
      <c r="Q158" s="196"/>
      <c r="R158" s="196"/>
      <c r="S158" s="20"/>
      <c r="T158" s="20"/>
      <c r="U158" s="20"/>
      <c r="V158" s="33"/>
      <c r="W158" s="20"/>
      <c r="X158" s="20"/>
      <c r="Y158" s="20"/>
      <c r="Z158" s="20"/>
      <c r="AA158" s="20"/>
      <c r="AB158" s="20"/>
      <c r="AC158" s="20"/>
      <c r="AD158" s="32">
        <f t="shared" si="53"/>
        <v>0</v>
      </c>
    </row>
    <row r="159" spans="3:30" ht="12.75" customHeight="1">
      <c r="C159" s="31">
        <v>3575</v>
      </c>
      <c r="D159" s="32" t="s">
        <v>87</v>
      </c>
      <c r="E159" s="20"/>
      <c r="F159" s="20"/>
      <c r="G159" s="20"/>
      <c r="H159" s="20"/>
      <c r="I159" s="33"/>
      <c r="J159" s="32">
        <f>ROUND(SUM(E159:H159),0)</f>
        <v>0</v>
      </c>
      <c r="K159" s="33"/>
      <c r="L159" s="20"/>
      <c r="M159" s="20"/>
      <c r="N159" s="20"/>
      <c r="O159" s="20"/>
      <c r="P159" s="196"/>
      <c r="Q159" s="196"/>
      <c r="R159" s="196"/>
      <c r="S159" s="20"/>
      <c r="T159" s="20"/>
      <c r="U159" s="20"/>
      <c r="V159" s="33"/>
      <c r="W159" s="20"/>
      <c r="X159" s="20"/>
      <c r="Y159" s="20"/>
      <c r="Z159" s="20"/>
      <c r="AA159" s="20"/>
      <c r="AB159" s="20"/>
      <c r="AC159" s="20"/>
      <c r="AD159" s="32">
        <f t="shared" si="53"/>
        <v>0</v>
      </c>
    </row>
    <row r="160" spans="3:30" ht="12.75" customHeight="1">
      <c r="C160" s="31">
        <v>3576</v>
      </c>
      <c r="D160" s="32" t="s">
        <v>88</v>
      </c>
      <c r="E160" s="20"/>
      <c r="F160" s="20"/>
      <c r="G160" s="20"/>
      <c r="H160" s="20"/>
      <c r="I160" s="33"/>
      <c r="J160" s="32">
        <f t="shared" si="52"/>
        <v>0</v>
      </c>
      <c r="K160" s="33"/>
      <c r="L160" s="20"/>
      <c r="M160" s="20"/>
      <c r="N160" s="20"/>
      <c r="O160" s="20"/>
      <c r="P160" s="196"/>
      <c r="Q160" s="196"/>
      <c r="R160" s="196"/>
      <c r="S160" s="20"/>
      <c r="T160" s="20"/>
      <c r="U160" s="20"/>
      <c r="V160" s="33"/>
      <c r="W160" s="20"/>
      <c r="X160" s="20"/>
      <c r="Y160" s="20"/>
      <c r="Z160" s="20"/>
      <c r="AA160" s="20"/>
      <c r="AB160" s="20"/>
      <c r="AC160" s="20"/>
      <c r="AD160" s="32">
        <f t="shared" si="53"/>
        <v>0</v>
      </c>
    </row>
    <row r="161" spans="3:30" ht="12.75" customHeight="1">
      <c r="C161" s="31">
        <v>3579</v>
      </c>
      <c r="D161" s="34" t="s">
        <v>89</v>
      </c>
      <c r="E161" s="32">
        <f>ROUND(SUM(E155:E160),0)</f>
        <v>0</v>
      </c>
      <c r="F161" s="32">
        <f>ROUND(SUM(F155:F160),0)</f>
        <v>0</v>
      </c>
      <c r="G161" s="32">
        <f>ROUND(SUM(G155:G160),0)</f>
        <v>0</v>
      </c>
      <c r="H161" s="32">
        <f>ROUND(SUM(H155:H160),0)</f>
        <v>0</v>
      </c>
      <c r="I161" s="33"/>
      <c r="J161" s="32">
        <f t="shared" si="52"/>
        <v>0</v>
      </c>
      <c r="K161" s="33"/>
      <c r="L161" s="32">
        <f t="shared" ref="L161:R161" si="54">ROUND(SUM(L155:L160),0)</f>
        <v>0</v>
      </c>
      <c r="M161" s="32">
        <f t="shared" si="54"/>
        <v>0</v>
      </c>
      <c r="N161" s="32">
        <f t="shared" si="54"/>
        <v>0</v>
      </c>
      <c r="O161" s="32">
        <f t="shared" si="54"/>
        <v>0</v>
      </c>
      <c r="P161" s="32">
        <f t="shared" si="54"/>
        <v>0</v>
      </c>
      <c r="Q161" s="32">
        <f t="shared" si="54"/>
        <v>0</v>
      </c>
      <c r="R161" s="32">
        <f t="shared" si="54"/>
        <v>0</v>
      </c>
      <c r="S161" s="32">
        <f t="shared" ref="S161:AB161" si="55">ROUND(SUM(S155:S160),0)</f>
        <v>0</v>
      </c>
      <c r="T161" s="32">
        <f t="shared" si="55"/>
        <v>0</v>
      </c>
      <c r="U161" s="32">
        <f t="shared" si="55"/>
        <v>0</v>
      </c>
      <c r="V161" s="33"/>
      <c r="W161" s="32">
        <f t="shared" si="55"/>
        <v>0</v>
      </c>
      <c r="X161" s="32">
        <f>ROUND(SUM(X155:X160),0)</f>
        <v>0</v>
      </c>
      <c r="Y161" s="32">
        <f t="shared" si="55"/>
        <v>0</v>
      </c>
      <c r="Z161" s="32">
        <f t="shared" si="55"/>
        <v>0</v>
      </c>
      <c r="AA161" s="32">
        <f t="shared" si="55"/>
        <v>0</v>
      </c>
      <c r="AB161" s="32">
        <f t="shared" si="55"/>
        <v>0</v>
      </c>
      <c r="AC161" s="32">
        <f>ROUND(SUM(AC155:AC160),0)</f>
        <v>0</v>
      </c>
      <c r="AD161" s="32">
        <f t="shared" si="53"/>
        <v>0</v>
      </c>
    </row>
    <row r="162" spans="3:30" ht="12.75" customHeight="1">
      <c r="C162" s="35"/>
      <c r="D162" s="120" t="s">
        <v>128</v>
      </c>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row>
    <row r="163" spans="3:30" ht="12.75" customHeight="1">
      <c r="C163" s="31">
        <v>3581</v>
      </c>
      <c r="D163" s="32" t="s">
        <v>91</v>
      </c>
      <c r="E163" s="20">
        <v>184049</v>
      </c>
      <c r="F163" s="20"/>
      <c r="G163" s="20"/>
      <c r="H163" s="20"/>
      <c r="I163" s="33"/>
      <c r="J163" s="32">
        <f t="shared" ref="J163:J169" si="56">ROUND(SUM(E163:H163),0)</f>
        <v>184049</v>
      </c>
      <c r="K163" s="33"/>
      <c r="L163" s="20"/>
      <c r="M163" s="20"/>
      <c r="N163" s="20"/>
      <c r="O163" s="20"/>
      <c r="P163" s="196">
        <v>200000.07</v>
      </c>
      <c r="Q163" s="196"/>
      <c r="R163" s="196"/>
      <c r="S163" s="20"/>
      <c r="T163" s="20"/>
      <c r="U163" s="20"/>
      <c r="V163" s="33"/>
      <c r="W163" s="20"/>
      <c r="X163" s="20"/>
      <c r="Y163" s="20"/>
      <c r="Z163" s="20"/>
      <c r="AA163" s="20"/>
      <c r="AB163" s="20"/>
      <c r="AC163" s="20"/>
      <c r="AD163" s="32">
        <f t="shared" ref="AD163:AD169" si="57">ROUND(SUM(J163:AC163),0)</f>
        <v>384049</v>
      </c>
    </row>
    <row r="164" spans="3:30" ht="12.75" customHeight="1">
      <c r="C164" s="31">
        <v>3582</v>
      </c>
      <c r="D164" s="32" t="s">
        <v>84</v>
      </c>
      <c r="E164" s="20"/>
      <c r="F164" s="20"/>
      <c r="G164" s="20"/>
      <c r="H164" s="20"/>
      <c r="I164" s="33"/>
      <c r="J164" s="32">
        <f t="shared" si="56"/>
        <v>0</v>
      </c>
      <c r="K164" s="33"/>
      <c r="L164" s="20"/>
      <c r="M164" s="20"/>
      <c r="N164" s="20"/>
      <c r="O164" s="20"/>
      <c r="P164" s="196"/>
      <c r="Q164" s="196"/>
      <c r="R164" s="196"/>
      <c r="S164" s="20"/>
      <c r="T164" s="20"/>
      <c r="U164" s="20"/>
      <c r="V164" s="33"/>
      <c r="W164" s="20"/>
      <c r="X164" s="20"/>
      <c r="Y164" s="20"/>
      <c r="Z164" s="20"/>
      <c r="AA164" s="20"/>
      <c r="AB164" s="20"/>
      <c r="AC164" s="20"/>
      <c r="AD164" s="32">
        <f t="shared" si="57"/>
        <v>0</v>
      </c>
    </row>
    <row r="165" spans="3:30" ht="12.75" customHeight="1">
      <c r="C165" s="31">
        <v>3583</v>
      </c>
      <c r="D165" s="32" t="s">
        <v>85</v>
      </c>
      <c r="E165" s="20"/>
      <c r="F165" s="20"/>
      <c r="G165" s="20"/>
      <c r="H165" s="20"/>
      <c r="I165" s="33"/>
      <c r="J165" s="32">
        <f t="shared" si="56"/>
        <v>0</v>
      </c>
      <c r="K165" s="33"/>
      <c r="L165" s="20"/>
      <c r="M165" s="20"/>
      <c r="N165" s="20"/>
      <c r="O165" s="20"/>
      <c r="P165" s="196"/>
      <c r="Q165" s="196"/>
      <c r="R165" s="196"/>
      <c r="S165" s="20"/>
      <c r="T165" s="20"/>
      <c r="U165" s="20"/>
      <c r="V165" s="33"/>
      <c r="W165" s="20"/>
      <c r="X165" s="20"/>
      <c r="Y165" s="20"/>
      <c r="Z165" s="20"/>
      <c r="AA165" s="20"/>
      <c r="AB165" s="20"/>
      <c r="AC165" s="20"/>
      <c r="AD165" s="32">
        <f t="shared" si="57"/>
        <v>0</v>
      </c>
    </row>
    <row r="166" spans="3:30" ht="12.75" customHeight="1">
      <c r="C166" s="31">
        <v>3584</v>
      </c>
      <c r="D166" s="32" t="s">
        <v>86</v>
      </c>
      <c r="E166" s="20"/>
      <c r="F166" s="20"/>
      <c r="G166" s="20"/>
      <c r="H166" s="20"/>
      <c r="I166" s="33"/>
      <c r="J166" s="32">
        <f t="shared" si="56"/>
        <v>0</v>
      </c>
      <c r="K166" s="33"/>
      <c r="L166" s="20"/>
      <c r="M166" s="20"/>
      <c r="N166" s="20"/>
      <c r="O166" s="20"/>
      <c r="P166" s="196"/>
      <c r="Q166" s="196"/>
      <c r="R166" s="196"/>
      <c r="S166" s="20"/>
      <c r="T166" s="20"/>
      <c r="U166" s="20"/>
      <c r="V166" s="33"/>
      <c r="W166" s="20"/>
      <c r="X166" s="20"/>
      <c r="Y166" s="20"/>
      <c r="Z166" s="20"/>
      <c r="AA166" s="20"/>
      <c r="AB166" s="20"/>
      <c r="AC166" s="20"/>
      <c r="AD166" s="32">
        <f t="shared" si="57"/>
        <v>0</v>
      </c>
    </row>
    <row r="167" spans="3:30" ht="10.5" customHeight="1">
      <c r="C167" s="31">
        <v>3585</v>
      </c>
      <c r="D167" s="32" t="s">
        <v>87</v>
      </c>
      <c r="E167" s="20">
        <v>6663</v>
      </c>
      <c r="F167" s="20"/>
      <c r="G167" s="20"/>
      <c r="H167" s="20"/>
      <c r="I167" s="33"/>
      <c r="J167" s="32">
        <f t="shared" si="56"/>
        <v>6663</v>
      </c>
      <c r="K167" s="33"/>
      <c r="L167" s="20"/>
      <c r="M167" s="20"/>
      <c r="N167" s="20"/>
      <c r="O167" s="20"/>
      <c r="P167" s="196"/>
      <c r="Q167" s="196"/>
      <c r="R167" s="196"/>
      <c r="S167" s="20"/>
      <c r="T167" s="20"/>
      <c r="U167" s="20"/>
      <c r="V167" s="33"/>
      <c r="W167" s="20"/>
      <c r="X167" s="20"/>
      <c r="Y167" s="20"/>
      <c r="Z167" s="20"/>
      <c r="AA167" s="20"/>
      <c r="AB167" s="20"/>
      <c r="AC167" s="20"/>
      <c r="AD167" s="32">
        <f t="shared" si="57"/>
        <v>6663</v>
      </c>
    </row>
    <row r="168" spans="3:30" ht="12.75" customHeight="1">
      <c r="C168" s="31">
        <v>3586</v>
      </c>
      <c r="D168" s="32" t="s">
        <v>88</v>
      </c>
      <c r="E168" s="20"/>
      <c r="F168" s="20"/>
      <c r="G168" s="20"/>
      <c r="H168" s="20"/>
      <c r="I168" s="33"/>
      <c r="J168" s="32">
        <f t="shared" si="56"/>
        <v>0</v>
      </c>
      <c r="K168" s="33"/>
      <c r="L168" s="20"/>
      <c r="M168" s="20"/>
      <c r="N168" s="20"/>
      <c r="O168" s="20"/>
      <c r="P168" s="196"/>
      <c r="Q168" s="196"/>
      <c r="R168" s="196"/>
      <c r="S168" s="20"/>
      <c r="T168" s="20"/>
      <c r="U168" s="20"/>
      <c r="V168" s="33"/>
      <c r="W168" s="20"/>
      <c r="X168" s="20"/>
      <c r="Y168" s="20"/>
      <c r="Z168" s="20"/>
      <c r="AA168" s="20"/>
      <c r="AB168" s="20"/>
      <c r="AC168" s="20"/>
      <c r="AD168" s="32">
        <f t="shared" si="57"/>
        <v>0</v>
      </c>
    </row>
    <row r="169" spans="3:30" ht="12.75" customHeight="1" thickBot="1">
      <c r="C169" s="37">
        <v>3589</v>
      </c>
      <c r="D169" s="38" t="s">
        <v>89</v>
      </c>
      <c r="E169" s="39">
        <f>ROUND(SUM(E163:E168),0)</f>
        <v>190712</v>
      </c>
      <c r="F169" s="39">
        <f>ROUND(SUM(F163:F168),0)</f>
        <v>0</v>
      </c>
      <c r="G169" s="39">
        <f>ROUND(SUM(G163:G168),0)</f>
        <v>0</v>
      </c>
      <c r="H169" s="39">
        <f>ROUND(SUM(H163:H168),0)</f>
        <v>0</v>
      </c>
      <c r="I169" s="40"/>
      <c r="J169" s="32">
        <f t="shared" si="56"/>
        <v>190712</v>
      </c>
      <c r="K169" s="40"/>
      <c r="L169" s="39">
        <f>ROUND(SUM(L163:L168),0)</f>
        <v>0</v>
      </c>
      <c r="M169" s="39">
        <f t="shared" ref="M169:AC169" si="58">ROUND(SUM(M163:M168),0)</f>
        <v>0</v>
      </c>
      <c r="N169" s="39">
        <f>ROUND(SUM(N163:N168),0)</f>
        <v>0</v>
      </c>
      <c r="O169" s="39">
        <f>ROUND(SUM(O163:O168),0)</f>
        <v>0</v>
      </c>
      <c r="P169" s="39">
        <f>ROUND(SUM(P163:P168),0)</f>
        <v>200000</v>
      </c>
      <c r="Q169" s="39">
        <f>ROUND(SUM(Q163:Q168),0)</f>
        <v>0</v>
      </c>
      <c r="R169" s="39">
        <f>ROUND(SUM(R163:R168),0)</f>
        <v>0</v>
      </c>
      <c r="S169" s="39">
        <f t="shared" si="58"/>
        <v>0</v>
      </c>
      <c r="T169" s="39">
        <f t="shared" si="58"/>
        <v>0</v>
      </c>
      <c r="U169" s="39">
        <f t="shared" si="58"/>
        <v>0</v>
      </c>
      <c r="V169" s="40"/>
      <c r="W169" s="39">
        <f t="shared" si="58"/>
        <v>0</v>
      </c>
      <c r="X169" s="39">
        <f>ROUND(SUM(X163:X168),0)</f>
        <v>0</v>
      </c>
      <c r="Y169" s="39">
        <f t="shared" si="58"/>
        <v>0</v>
      </c>
      <c r="Z169" s="39">
        <f t="shared" si="58"/>
        <v>0</v>
      </c>
      <c r="AA169" s="39">
        <f t="shared" si="58"/>
        <v>0</v>
      </c>
      <c r="AB169" s="39">
        <f t="shared" si="58"/>
        <v>0</v>
      </c>
      <c r="AC169" s="39">
        <f t="shared" si="58"/>
        <v>0</v>
      </c>
      <c r="AD169" s="39">
        <f t="shared" si="57"/>
        <v>390712</v>
      </c>
    </row>
    <row r="170" spans="3:30" ht="12.75" customHeight="1" thickTop="1">
      <c r="C170" s="708">
        <v>3599</v>
      </c>
      <c r="D170" s="709" t="s">
        <v>294</v>
      </c>
      <c r="E170" s="710">
        <f t="shared" ref="E170:T170" si="59">SUM(E21,E29,E37,E45,E50,E52,E60,E65,E69,E73,E78,E83,E91,E97,E99,E105,E110,E112,E117,E122,E124,E130,E135,E140,E145,E153,E161,E169)</f>
        <v>8957777.7699999996</v>
      </c>
      <c r="F170" s="710">
        <f t="shared" si="59"/>
        <v>3972907.1</v>
      </c>
      <c r="G170" s="710">
        <f>SUM(G21,G29,G37,G45,G50,G52,G60,G65,G69,G73,G78,G83,G91,G97,G99,G105,G110,G112,G117,G122,G124,G130,G135,G140,G145,G153,G161,G169)</f>
        <v>0</v>
      </c>
      <c r="H170" s="710">
        <f t="shared" si="59"/>
        <v>0</v>
      </c>
      <c r="I170" s="710">
        <f t="shared" si="59"/>
        <v>1357201</v>
      </c>
      <c r="J170" s="710">
        <f t="shared" si="59"/>
        <v>14287885</v>
      </c>
      <c r="K170" s="710">
        <f t="shared" si="59"/>
        <v>0</v>
      </c>
      <c r="L170" s="710">
        <f>SUM(L21,L29,L37,L45,L50,L52,L60,L65,L69,L73,L78,L83,L91,L97,L99,L105,L110,L112,L117,L122,L124,L130,L135,L140,L145,L153,L161,L169)</f>
        <v>377286.41000000003</v>
      </c>
      <c r="M170" s="710">
        <v>557464</v>
      </c>
      <c r="N170" s="710">
        <f>SUM(N21,N29,N37,N45,N50,N52,N60,N65,N69,N73,N78,N83,N91,N97,N99,N105,N110,N112,N117,N122,N124,N130,N135,N140,N145,N153,N161,N169)</f>
        <v>0</v>
      </c>
      <c r="O170" s="710">
        <f>SUM(O21,O29,O37,O45,O50,O52,O60,O65,O69,O73,O78,O83,O91,O97,O99,O105,O110,O112,O117,O122,O124,O130,O135,O140,O145,O153,O161,O169)</f>
        <v>148459.9</v>
      </c>
      <c r="P170" s="710">
        <f>SUM(P21,P29,P37,P45,P50,P52,P60,P65,P69,P73,P78,P83,P91,P97,P99,P105,P110,P112,P117,P122,P124,P130,P135,P140,P145,P153,P161,P169)</f>
        <v>1354575.0699999998</v>
      </c>
      <c r="Q170" s="710">
        <f>SUM(Q21,Q29,Q37,Q45,Q50,Q52,Q60,Q65,Q69,Q73,Q78,Q83,Q91,Q97,Q99,Q105,Q110,Q112,Q117,Q122,Q124,Q130,Q135,Q140,Q145,Q153,Q161,Q169)</f>
        <v>0</v>
      </c>
      <c r="R170" s="710">
        <f>SUM(R21,R29,R37,R45,R50,R52,R60,R65,R69,R73,R78,R83,R91,R97,R99,R105,R110,R112,R117,R122,R124,R130,R135,R140,R145,R153,R161,R169)</f>
        <v>0</v>
      </c>
      <c r="S170" s="710">
        <f t="shared" si="59"/>
        <v>64332</v>
      </c>
      <c r="T170" s="710">
        <f t="shared" si="59"/>
        <v>0</v>
      </c>
      <c r="U170" s="710">
        <f t="shared" ref="U170:AD170" si="60">SUM(U21,U29,U37,U45,U50,U52,U60,U65,U69,U73,U78,U83,U91,U97,U99,U105,U110,U112,U117,U122,U124,U130,U135,U140,U145,U153,U161,U169)</f>
        <v>311538</v>
      </c>
      <c r="V170" s="578"/>
      <c r="W170" s="710">
        <f t="shared" si="60"/>
        <v>134812.72999999998</v>
      </c>
      <c r="X170" s="710">
        <f>SUM(X21,X29,X37,X45,X50,X52,X60,X65,X69,X73,X78,X83,X91,X97,X99,X105,X110,X112,X117,X122,X124,X130,X135,X140,X145,X153,X161,X169)</f>
        <v>0</v>
      </c>
      <c r="Y170" s="710">
        <f t="shared" si="60"/>
        <v>52178</v>
      </c>
      <c r="Z170" s="710">
        <f t="shared" si="60"/>
        <v>0</v>
      </c>
      <c r="AA170" s="710">
        <f t="shared" si="60"/>
        <v>136553</v>
      </c>
      <c r="AB170" s="710">
        <f t="shared" si="60"/>
        <v>292635</v>
      </c>
      <c r="AC170" s="710">
        <f t="shared" si="60"/>
        <v>15897</v>
      </c>
      <c r="AD170" s="710">
        <f t="shared" si="60"/>
        <v>17733606</v>
      </c>
    </row>
  </sheetData>
  <sheetProtection algorithmName="SHA-512" hashValue="gy2rp2ZzFDYMqvuFnKKfClybwx4RZDgC8LDnixW5haGTyOd694yUNnfaiZqE2w3Fb/i3c0LzkUH8ulrNhGupsw==" saltValue="G5Dknvu2SXDczcYHwoBjyg==" spinCount="100000" sheet="1" objects="1" scenarios="1"/>
  <customSheetViews>
    <customSheetView guid="{EBCA391C-5ACD-495F-8ED1-C69B7D739622}" scale="75" showGridLines="0" hiddenColumns="1">
      <pane xSplit="4" ySplit="13" topLeftCell="E14" activePane="bottomRight" state="frozen"/>
      <selection pane="bottomRight" activeCell="E17" sqref="E17"/>
      <rowBreaks count="1" manualBreakCount="1">
        <brk id="77" min="2" max="21" man="1"/>
      </rowBreaks>
      <pageMargins left="0" right="0" top="0" bottom="0" header="0" footer="0"/>
      <pageSetup paperSize="5" scale="52" fitToHeight="0" orientation="landscape" r:id="rId1"/>
      <headerFooter alignWithMargins="0">
        <oddFooter>Page &amp;P of &amp;N</oddFooter>
      </headerFooter>
    </customSheetView>
  </customSheetViews>
  <mergeCells count="8">
    <mergeCell ref="Z9:AC9"/>
    <mergeCell ref="F5:G5"/>
    <mergeCell ref="I5:J5"/>
    <mergeCell ref="K5:L5"/>
    <mergeCell ref="F6:G6"/>
    <mergeCell ref="I6:J6"/>
    <mergeCell ref="L9:V9"/>
    <mergeCell ref="W9:Y9"/>
  </mergeCells>
  <phoneticPr fontId="0" type="noConversion"/>
  <dataValidations count="1">
    <dataValidation type="decimal" operator="greaterThanOrEqual" allowBlank="1" showInputMessage="1" showErrorMessage="1" sqref="E99:H99 E112:H112 E124:H124 D2:E2 E15:H21 J15:J21 E23:H29 J23:J29 E31:H37 J31:J37 I39:J45 E47:H50 J47:J50 J52 E54:H60 J54:J60 E62:H65 J62:J65 E67:H69 J67:J69 E71:H73 J71:J73 E80:H83 J80:J83 I85:J91 E93:H97 J93:J97 J99 E101:H105 J101:J105 E107:H110 J107:J110 J112 E114:H117 E119:H122 J119:J122 J124 E126:H130 N72:AD72 E132:H135 J132:J135 E137:H140 J137:J140 E142:H145 J142:J145 E147:H153 J147:J153 E155:H161 J155:J161 E163:H169 J163:J169 E52:H52 L15:AD21 L163:R169 L119:AD122 L23:AD29 L31:AD37 L39:AD45 L47:AD50 L54:AD60 L52:AD52 L62:AD65 I75:AD78 L85:AD91 L93:AD97 L101:AD105 L99:AD99 L107:AD110 J114:AD117 L112:AD112 L80:AD83 L126:AD130 L124:AD124 L132:AD135 L137:AD140 L142:AD145 L147:AD153 L155:AD161 S163:AD170 J126:J130 L72 L67:AD69 L71:AD71 L73:AD73 E170:R170" xr:uid="{00000000-0002-0000-0500-000000000000}">
      <formula1>0</formula1>
    </dataValidation>
  </dataValidations>
  <pageMargins left="0.75" right="0.75" top="0.5" bottom="0.5" header="0" footer="0"/>
  <pageSetup paperSize="5" scale="39" fitToHeight="0" orientation="landscape" r:id="rId2"/>
  <headerFooter alignWithMargins="0">
    <oddFooter>&amp;CPage &amp;P of &amp;N</oddFooter>
  </headerFooter>
  <rowBreaks count="1" manualBreakCount="1">
    <brk id="91" min="2" max="21" man="1"/>
  </rowBreaks>
  <drawing r:id="rId3"/>
  <legacyDrawing r:id="rId4"/>
  <mc:AlternateContent xmlns:mc="http://schemas.openxmlformats.org/markup-compatibility/2006">
    <mc:Choice Requires="x14">
      <controls>
        <mc:AlternateContent xmlns:mc="http://schemas.openxmlformats.org/markup-compatibility/2006">
          <mc:Choice Requires="x14">
            <control shapeId="1026" r:id="rId5" name="Button 2">
              <controlPr defaultSize="0" print="0" autoFill="0" autoPict="0" macro="[0]!add_run">
                <anchor moveWithCells="1" sizeWithCells="1">
                  <from>
                    <xdr:col>3</xdr:col>
                    <xdr:colOff>1623060</xdr:colOff>
                    <xdr:row>7</xdr:row>
                    <xdr:rowOff>76200</xdr:rowOff>
                  </from>
                  <to>
                    <xdr:col>3</xdr:col>
                    <xdr:colOff>3032760</xdr:colOff>
                    <xdr:row>10</xdr:row>
                    <xdr:rowOff>76200</xdr:rowOff>
                  </to>
                </anchor>
              </controlPr>
            </control>
          </mc:Choice>
        </mc:AlternateContent>
        <mc:AlternateContent xmlns:mc="http://schemas.openxmlformats.org/markup-compatibility/2006">
          <mc:Choice Requires="x14">
            <control shapeId="1027" r:id="rId6" name="Button 3">
              <controlPr defaultSize="0" print="0" autoFill="0" autoPict="0" macro="[0]!print_sch3">
                <anchor moveWithCells="1" sizeWithCells="1">
                  <from>
                    <xdr:col>3</xdr:col>
                    <xdr:colOff>15240</xdr:colOff>
                    <xdr:row>7</xdr:row>
                    <xdr:rowOff>91440</xdr:rowOff>
                  </from>
                  <to>
                    <xdr:col>3</xdr:col>
                    <xdr:colOff>1546860</xdr:colOff>
                    <xdr:row>10</xdr:row>
                    <xdr:rowOff>76200</xdr:rowOff>
                  </to>
                </anchor>
              </controlPr>
            </control>
          </mc:Choice>
        </mc:AlternateContent>
        <mc:AlternateContent xmlns:mc="http://schemas.openxmlformats.org/markup-compatibility/2006">
          <mc:Choice Requires="x14">
            <control shapeId="1029" r:id="rId7" name="Drop Down 5">
              <controlPr defaultSize="0" print="0" autoLine="0" autoPict="0" macro="[0]!search_run">
                <anchor moveWithCells="1">
                  <from>
                    <xdr:col>3</xdr:col>
                    <xdr:colOff>0</xdr:colOff>
                    <xdr:row>1</xdr:row>
                    <xdr:rowOff>3368040</xdr:rowOff>
                  </from>
                  <to>
                    <xdr:col>3</xdr:col>
                    <xdr:colOff>3383280</xdr:colOff>
                    <xdr:row>4</xdr:row>
                    <xdr:rowOff>3810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6"/>
  </sheetPr>
  <dimension ref="A2:L50"/>
  <sheetViews>
    <sheetView topLeftCell="B42" workbookViewId="0">
      <selection activeCell="C7" sqref="C7:C8"/>
    </sheetView>
  </sheetViews>
  <sheetFormatPr defaultColWidth="9.44140625" defaultRowHeight="22.5" customHeight="1"/>
  <cols>
    <col min="1" max="1" width="4.77734375" style="613" customWidth="1"/>
    <col min="2" max="2" width="9.44140625" style="613"/>
    <col min="3" max="3" width="84.6640625" style="613" customWidth="1"/>
    <col min="4" max="4" width="9.6640625" style="613" hidden="1" customWidth="1"/>
    <col min="5" max="5" width="16.44140625" style="613" hidden="1" customWidth="1"/>
    <col min="6" max="6" width="14.77734375" style="613" customWidth="1"/>
    <col min="7" max="7" width="11.44140625" style="613" bestFit="1" customWidth="1"/>
    <col min="8" max="8" width="12.6640625" style="613" customWidth="1"/>
    <col min="9" max="16384" width="9.44140625" style="613"/>
  </cols>
  <sheetData>
    <row r="2" spans="1:12" ht="22.5" customHeight="1">
      <c r="B2" s="741" t="s">
        <v>1112</v>
      </c>
      <c r="C2" s="742"/>
      <c r="D2" s="742"/>
      <c r="E2" s="742"/>
      <c r="F2" s="742"/>
      <c r="G2" s="742"/>
      <c r="H2" s="742"/>
      <c r="I2" s="614"/>
      <c r="J2" s="614"/>
      <c r="K2" s="614"/>
      <c r="L2" s="614"/>
    </row>
    <row r="3" spans="1:12" ht="14.45"/>
    <row r="4" spans="1:12" ht="36" customHeight="1">
      <c r="B4" s="743" t="s">
        <v>1113</v>
      </c>
      <c r="C4" s="744"/>
      <c r="D4" s="744"/>
      <c r="E4" s="744"/>
      <c r="F4" s="744"/>
      <c r="G4" s="744"/>
      <c r="H4" s="744"/>
      <c r="I4" s="614"/>
      <c r="J4" s="614"/>
      <c r="K4" s="614"/>
      <c r="L4" s="614"/>
    </row>
    <row r="5" spans="1:12" ht="18">
      <c r="B5" s="683"/>
      <c r="C5" s="614"/>
      <c r="D5" s="614"/>
      <c r="E5" s="614"/>
      <c r="F5" s="614"/>
      <c r="G5" s="614"/>
      <c r="H5" s="614"/>
      <c r="I5" s="614"/>
      <c r="J5" s="614"/>
      <c r="K5" s="614"/>
      <c r="L5" s="614"/>
    </row>
    <row r="6" spans="1:12" ht="22.5" customHeight="1">
      <c r="B6" s="615"/>
      <c r="C6" s="615"/>
      <c r="D6" s="616" t="s">
        <v>1114</v>
      </c>
      <c r="E6" s="616" t="s">
        <v>895</v>
      </c>
      <c r="F6" s="615"/>
      <c r="G6" s="615"/>
      <c r="H6" s="617" t="s">
        <v>1115</v>
      </c>
    </row>
    <row r="7" spans="1:12" ht="22.5" customHeight="1">
      <c r="B7" s="740" t="s">
        <v>1116</v>
      </c>
      <c r="C7" s="739" t="s">
        <v>1117</v>
      </c>
      <c r="D7" s="618" t="s">
        <v>1118</v>
      </c>
      <c r="E7" s="619" t="s">
        <v>1119</v>
      </c>
      <c r="F7" s="620" t="s">
        <v>1120</v>
      </c>
      <c r="G7" s="643"/>
      <c r="H7" s="621">
        <v>44378</v>
      </c>
    </row>
    <row r="8" spans="1:12" ht="22.5" customHeight="1">
      <c r="B8" s="804"/>
      <c r="C8" s="804"/>
      <c r="D8" s="622" t="s">
        <v>1121</v>
      </c>
      <c r="E8" s="623" t="s">
        <v>1122</v>
      </c>
      <c r="F8" s="620" t="s">
        <v>1123</v>
      </c>
      <c r="G8" s="643"/>
      <c r="H8" s="621">
        <v>45473</v>
      </c>
    </row>
    <row r="9" spans="1:12" ht="22.5" customHeight="1">
      <c r="B9" s="740" t="s">
        <v>1124</v>
      </c>
      <c r="C9" s="739" t="s">
        <v>1125</v>
      </c>
      <c r="D9" s="618" t="s">
        <v>1126</v>
      </c>
      <c r="E9" s="619" t="s">
        <v>1127</v>
      </c>
      <c r="F9" s="624" t="s">
        <v>639</v>
      </c>
      <c r="G9" s="643"/>
      <c r="H9" s="625">
        <v>2.5000000000000001E-2</v>
      </c>
    </row>
    <row r="10" spans="1:12" ht="22.5" customHeight="1">
      <c r="B10" s="805"/>
      <c r="C10" s="805"/>
      <c r="D10" s="622" t="s">
        <v>1128</v>
      </c>
      <c r="E10" s="623" t="s">
        <v>1129</v>
      </c>
      <c r="F10" s="624" t="s">
        <v>640</v>
      </c>
      <c r="G10" s="643"/>
      <c r="H10" s="625">
        <v>1.4999999999999999E-2</v>
      </c>
    </row>
    <row r="11" spans="1:12" ht="22.5" customHeight="1">
      <c r="B11" s="805"/>
      <c r="C11" s="805"/>
      <c r="D11" s="622" t="s">
        <v>1130</v>
      </c>
      <c r="E11" s="623" t="s">
        <v>1131</v>
      </c>
      <c r="F11" s="624" t="s">
        <v>641</v>
      </c>
      <c r="G11" s="643"/>
      <c r="H11" s="625">
        <v>0.01</v>
      </c>
    </row>
    <row r="12" spans="1:12" ht="22.5" customHeight="1">
      <c r="B12" s="804"/>
      <c r="C12" s="804"/>
      <c r="D12" s="622" t="s">
        <v>1132</v>
      </c>
      <c r="E12" s="623" t="s">
        <v>1133</v>
      </c>
      <c r="F12" s="624" t="s">
        <v>1134</v>
      </c>
      <c r="G12" s="643"/>
      <c r="H12" s="625" t="s">
        <v>1135</v>
      </c>
    </row>
    <row r="13" spans="1:12" ht="22.5" customHeight="1">
      <c r="B13" s="626" t="s">
        <v>1136</v>
      </c>
      <c r="C13" s="627" t="s">
        <v>1137</v>
      </c>
      <c r="D13" s="618" t="s">
        <v>1138</v>
      </c>
      <c r="E13" s="619" t="s">
        <v>1139</v>
      </c>
      <c r="F13" s="624" t="s">
        <v>1140</v>
      </c>
      <c r="G13" s="644"/>
      <c r="H13" s="628">
        <v>10</v>
      </c>
    </row>
    <row r="14" spans="1:12" ht="22.5" customHeight="1">
      <c r="A14" s="629"/>
      <c r="B14" s="630" t="s">
        <v>1141</v>
      </c>
      <c r="C14" s="631" t="s">
        <v>1142</v>
      </c>
      <c r="D14" s="618" t="s">
        <v>1143</v>
      </c>
      <c r="E14" s="619" t="s">
        <v>1144</v>
      </c>
      <c r="F14" s="624" t="s">
        <v>1145</v>
      </c>
      <c r="G14" s="644"/>
      <c r="H14" s="628">
        <v>13</v>
      </c>
    </row>
    <row r="15" spans="1:12" ht="22.5" customHeight="1">
      <c r="B15" s="740" t="s">
        <v>1146</v>
      </c>
      <c r="C15" s="739" t="s">
        <v>1147</v>
      </c>
      <c r="D15" s="618" t="s">
        <v>1148</v>
      </c>
      <c r="E15" s="619" t="s">
        <v>1149</v>
      </c>
      <c r="F15" s="738" t="s">
        <v>1150</v>
      </c>
      <c r="G15" s="624" t="s">
        <v>1151</v>
      </c>
      <c r="H15" s="632">
        <v>49551</v>
      </c>
    </row>
    <row r="16" spans="1:12" ht="22.5" customHeight="1">
      <c r="B16" s="805"/>
      <c r="C16" s="805"/>
      <c r="D16" s="622" t="s">
        <v>1152</v>
      </c>
      <c r="E16" s="623" t="s">
        <v>1153</v>
      </c>
      <c r="F16" s="738"/>
      <c r="G16" s="624" t="s">
        <v>1154</v>
      </c>
      <c r="H16" s="632">
        <v>57183</v>
      </c>
    </row>
    <row r="17" spans="1:8" ht="22.5" customHeight="1">
      <c r="B17" s="805"/>
      <c r="C17" s="805"/>
      <c r="D17" s="622" t="s">
        <v>1155</v>
      </c>
      <c r="E17" s="623" t="s">
        <v>1156</v>
      </c>
      <c r="F17" s="738"/>
      <c r="G17" s="624" t="s">
        <v>1157</v>
      </c>
      <c r="H17" s="632">
        <v>72442</v>
      </c>
    </row>
    <row r="18" spans="1:8" ht="22.5" customHeight="1">
      <c r="B18" s="805"/>
      <c r="C18" s="805"/>
      <c r="D18" s="622" t="s">
        <v>1158</v>
      </c>
      <c r="E18" s="623" t="s">
        <v>1159</v>
      </c>
      <c r="F18" s="738" t="s">
        <v>1160</v>
      </c>
      <c r="G18" s="624" t="s">
        <v>1151</v>
      </c>
      <c r="H18" s="632">
        <v>58028</v>
      </c>
    </row>
    <row r="19" spans="1:8" ht="22.5" customHeight="1">
      <c r="B19" s="805"/>
      <c r="C19" s="805"/>
      <c r="D19" s="622" t="s">
        <v>1161</v>
      </c>
      <c r="E19" s="623" t="s">
        <v>1162</v>
      </c>
      <c r="F19" s="738"/>
      <c r="G19" s="624" t="s">
        <v>1154</v>
      </c>
      <c r="H19" s="632">
        <v>65658</v>
      </c>
    </row>
    <row r="20" spans="1:8" ht="22.5" customHeight="1">
      <c r="B20" s="805"/>
      <c r="C20" s="805"/>
      <c r="D20" s="622" t="s">
        <v>1163</v>
      </c>
      <c r="E20" s="623" t="s">
        <v>1164</v>
      </c>
      <c r="F20" s="738"/>
      <c r="G20" s="624" t="s">
        <v>1157</v>
      </c>
      <c r="H20" s="632">
        <v>80919</v>
      </c>
    </row>
    <row r="21" spans="1:8" ht="22.5" customHeight="1">
      <c r="B21" s="805"/>
      <c r="C21" s="805"/>
      <c r="D21" s="622" t="s">
        <v>1165</v>
      </c>
      <c r="E21" s="623" t="s">
        <v>1166</v>
      </c>
      <c r="F21" s="738" t="s">
        <v>1167</v>
      </c>
      <c r="G21" s="624" t="s">
        <v>1151</v>
      </c>
      <c r="H21" s="632">
        <v>76959</v>
      </c>
    </row>
    <row r="22" spans="1:8" ht="22.5" customHeight="1">
      <c r="B22" s="805"/>
      <c r="C22" s="805"/>
      <c r="D22" s="622" t="s">
        <v>1168</v>
      </c>
      <c r="E22" s="623" t="s">
        <v>1169</v>
      </c>
      <c r="F22" s="738"/>
      <c r="G22" s="624" t="s">
        <v>1154</v>
      </c>
      <c r="H22" s="632">
        <v>84626</v>
      </c>
    </row>
    <row r="23" spans="1:8" ht="22.5" customHeight="1">
      <c r="B23" s="804"/>
      <c r="C23" s="804"/>
      <c r="D23" s="622" t="s">
        <v>1170</v>
      </c>
      <c r="E23" s="623" t="s">
        <v>1171</v>
      </c>
      <c r="F23" s="738"/>
      <c r="G23" s="624" t="s">
        <v>1157</v>
      </c>
      <c r="H23" s="632">
        <v>99960</v>
      </c>
    </row>
    <row r="24" spans="1:8" ht="22.5" customHeight="1">
      <c r="A24" s="633"/>
      <c r="B24" s="634" t="s">
        <v>1172</v>
      </c>
      <c r="C24" s="635" t="s">
        <v>1173</v>
      </c>
      <c r="D24" s="622" t="s">
        <v>1174</v>
      </c>
      <c r="E24" s="623" t="s">
        <v>1175</v>
      </c>
      <c r="F24" s="620" t="s">
        <v>1176</v>
      </c>
      <c r="G24" s="643"/>
      <c r="H24" s="636" t="s">
        <v>1177</v>
      </c>
    </row>
    <row r="25" spans="1:8" ht="22.5" customHeight="1">
      <c r="A25" s="633"/>
      <c r="B25" s="634" t="s">
        <v>1178</v>
      </c>
      <c r="C25" s="635" t="s">
        <v>1179</v>
      </c>
      <c r="D25" s="622" t="s">
        <v>1180</v>
      </c>
      <c r="E25" s="623" t="s">
        <v>1181</v>
      </c>
      <c r="F25" s="620" t="s">
        <v>1182</v>
      </c>
      <c r="G25" s="643"/>
      <c r="H25" s="637">
        <v>15</v>
      </c>
    </row>
    <row r="26" spans="1:8" ht="22.5" customHeight="1">
      <c r="A26" s="745"/>
      <c r="B26" s="749" t="s">
        <v>1183</v>
      </c>
      <c r="C26" s="747" t="s">
        <v>1184</v>
      </c>
      <c r="D26" s="622" t="s">
        <v>1185</v>
      </c>
      <c r="E26" s="623" t="s">
        <v>1186</v>
      </c>
      <c r="F26" s="620" t="s">
        <v>1187</v>
      </c>
      <c r="G26" s="643"/>
      <c r="H26" s="632">
        <v>1900</v>
      </c>
    </row>
    <row r="27" spans="1:8" ht="22.5" customHeight="1">
      <c r="A27" s="746"/>
      <c r="B27" s="754"/>
      <c r="C27" s="804"/>
      <c r="D27" s="622" t="s">
        <v>1188</v>
      </c>
      <c r="E27" s="623" t="s">
        <v>1189</v>
      </c>
      <c r="F27" s="620" t="s">
        <v>1190</v>
      </c>
      <c r="G27" s="643"/>
      <c r="H27" s="625"/>
    </row>
    <row r="28" spans="1:8" ht="22.5" customHeight="1">
      <c r="A28" s="629"/>
      <c r="B28" s="638" t="s">
        <v>1191</v>
      </c>
      <c r="C28" s="639" t="s">
        <v>1192</v>
      </c>
      <c r="D28" s="622" t="s">
        <v>1193</v>
      </c>
      <c r="E28" s="623" t="s">
        <v>1194</v>
      </c>
      <c r="F28" s="620" t="s">
        <v>1182</v>
      </c>
      <c r="G28" s="643"/>
      <c r="H28" s="637">
        <v>25</v>
      </c>
    </row>
    <row r="29" spans="1:8" ht="22.5" customHeight="1">
      <c r="A29" s="745"/>
      <c r="B29" s="749" t="s">
        <v>1195</v>
      </c>
      <c r="C29" s="747" t="s">
        <v>1196</v>
      </c>
      <c r="D29" s="622" t="s">
        <v>1197</v>
      </c>
      <c r="E29" s="623" t="s">
        <v>1198</v>
      </c>
      <c r="F29" s="620" t="s">
        <v>1187</v>
      </c>
      <c r="G29" s="643"/>
      <c r="H29" s="632">
        <v>5700</v>
      </c>
    </row>
    <row r="30" spans="1:8" ht="22.5" customHeight="1">
      <c r="A30" s="746"/>
      <c r="B30" s="750"/>
      <c r="C30" s="748"/>
      <c r="D30" s="622" t="s">
        <v>1199</v>
      </c>
      <c r="E30" s="623" t="s">
        <v>1200</v>
      </c>
      <c r="F30" s="620" t="s">
        <v>1190</v>
      </c>
      <c r="G30" s="643"/>
      <c r="H30" s="625"/>
    </row>
    <row r="31" spans="1:8" ht="22.5" customHeight="1">
      <c r="B31" s="740" t="s">
        <v>1201</v>
      </c>
      <c r="C31" s="739" t="s">
        <v>1202</v>
      </c>
      <c r="D31" s="618" t="s">
        <v>1203</v>
      </c>
      <c r="E31" s="619" t="s">
        <v>1204</v>
      </c>
      <c r="F31" s="620" t="s">
        <v>1205</v>
      </c>
      <c r="G31" s="643"/>
      <c r="H31" s="628">
        <v>183</v>
      </c>
    </row>
    <row r="32" spans="1:8" ht="22.5" customHeight="1">
      <c r="B32" s="805"/>
      <c r="C32" s="805"/>
      <c r="D32" s="622" t="s">
        <v>1206</v>
      </c>
      <c r="E32" s="623" t="s">
        <v>1207</v>
      </c>
      <c r="F32" s="620" t="s">
        <v>1208</v>
      </c>
      <c r="G32" s="643"/>
      <c r="H32" s="628">
        <v>180</v>
      </c>
    </row>
    <row r="33" spans="1:9" ht="22.5" customHeight="1">
      <c r="B33" s="804"/>
      <c r="C33" s="804"/>
      <c r="D33" s="622" t="s">
        <v>1209</v>
      </c>
      <c r="E33" s="623" t="s">
        <v>1210</v>
      </c>
      <c r="F33" s="620" t="s">
        <v>1211</v>
      </c>
      <c r="G33" s="643"/>
      <c r="H33" s="628">
        <v>0</v>
      </c>
    </row>
    <row r="34" spans="1:9" ht="22.5" customHeight="1">
      <c r="B34" s="626" t="s">
        <v>1212</v>
      </c>
      <c r="C34" s="627" t="s">
        <v>1213</v>
      </c>
      <c r="D34" s="618" t="s">
        <v>1214</v>
      </c>
      <c r="E34" s="619" t="s">
        <v>1215</v>
      </c>
      <c r="F34" s="644"/>
      <c r="G34" s="643"/>
      <c r="H34" s="628">
        <v>5</v>
      </c>
    </row>
    <row r="35" spans="1:9" ht="22.5" customHeight="1">
      <c r="B35" s="740" t="s">
        <v>1216</v>
      </c>
      <c r="C35" s="739" t="s">
        <v>1217</v>
      </c>
      <c r="D35" s="618" t="s">
        <v>1218</v>
      </c>
      <c r="E35" s="619" t="s">
        <v>1219</v>
      </c>
      <c r="F35" s="620" t="s">
        <v>1220</v>
      </c>
      <c r="G35" s="643"/>
      <c r="H35" s="628">
        <v>12</v>
      </c>
    </row>
    <row r="36" spans="1:9" ht="22.5" customHeight="1">
      <c r="B36" s="805"/>
      <c r="C36" s="805"/>
      <c r="D36" s="622" t="s">
        <v>1221</v>
      </c>
      <c r="E36" s="623" t="s">
        <v>1222</v>
      </c>
      <c r="F36" s="620" t="s">
        <v>1223</v>
      </c>
      <c r="G36" s="643"/>
      <c r="H36" s="628">
        <v>3</v>
      </c>
    </row>
    <row r="37" spans="1:9" ht="22.5" customHeight="1">
      <c r="B37" s="804"/>
      <c r="C37" s="804"/>
      <c r="D37" s="622" t="s">
        <v>1224</v>
      </c>
      <c r="E37" s="623" t="s">
        <v>1225</v>
      </c>
      <c r="F37" s="620" t="s">
        <v>1226</v>
      </c>
      <c r="G37" s="643"/>
      <c r="H37" s="628">
        <v>180</v>
      </c>
    </row>
    <row r="38" spans="1:9" ht="22.5" customHeight="1">
      <c r="B38" s="740" t="s">
        <v>1227</v>
      </c>
      <c r="C38" s="739" t="s">
        <v>1228</v>
      </c>
      <c r="D38" s="618" t="s">
        <v>1229</v>
      </c>
      <c r="E38" s="736" t="s">
        <v>1230</v>
      </c>
      <c r="F38" s="738" t="s">
        <v>1231</v>
      </c>
      <c r="G38" s="624" t="s">
        <v>1232</v>
      </c>
      <c r="H38" s="625">
        <v>0.75</v>
      </c>
      <c r="I38" s="640" t="str">
        <f>IF(H38&lt;0.5,"This employer share percentage is low, please confirm","")</f>
        <v/>
      </c>
    </row>
    <row r="39" spans="1:9" ht="22.5" customHeight="1">
      <c r="B39" s="805"/>
      <c r="C39" s="805"/>
      <c r="D39" s="622" t="s">
        <v>1233</v>
      </c>
      <c r="E39" s="737"/>
      <c r="F39" s="738"/>
      <c r="G39" s="624" t="s">
        <v>1234</v>
      </c>
      <c r="H39" s="625">
        <v>0.75</v>
      </c>
      <c r="I39" s="640" t="str">
        <f>IF(H39&lt;0.5,"This employer share percentage is low, please confirm","")</f>
        <v/>
      </c>
    </row>
    <row r="40" spans="1:9" ht="22.5" customHeight="1">
      <c r="B40" s="805"/>
      <c r="C40" s="805"/>
      <c r="D40" s="622" t="s">
        <v>1235</v>
      </c>
      <c r="E40" s="734" t="s">
        <v>1236</v>
      </c>
      <c r="F40" s="738" t="s">
        <v>1237</v>
      </c>
      <c r="G40" s="624" t="s">
        <v>1232</v>
      </c>
      <c r="H40" s="625">
        <v>0.75</v>
      </c>
      <c r="I40" s="640" t="str">
        <f>IF(H40&lt;0.5,"This employer share percentage is low, please confirm","")</f>
        <v/>
      </c>
    </row>
    <row r="41" spans="1:9" ht="22.5" customHeight="1">
      <c r="B41" s="804"/>
      <c r="C41" s="804"/>
      <c r="D41" s="622" t="s">
        <v>1238</v>
      </c>
      <c r="E41" s="735"/>
      <c r="F41" s="738"/>
      <c r="G41" s="624" t="s">
        <v>1234</v>
      </c>
      <c r="H41" s="625">
        <v>0.5</v>
      </c>
      <c r="I41" s="640" t="str">
        <f>IF(H41&lt;0.5,"This employer share percentage is low, please confirm","")</f>
        <v/>
      </c>
    </row>
    <row r="42" spans="1:9" ht="45" customHeight="1">
      <c r="A42" s="629"/>
      <c r="B42" s="626" t="s">
        <v>1239</v>
      </c>
      <c r="C42" s="641" t="s">
        <v>1240</v>
      </c>
      <c r="D42" s="618" t="s">
        <v>1241</v>
      </c>
      <c r="E42" s="619" t="s">
        <v>1242</v>
      </c>
      <c r="F42" s="620" t="s">
        <v>1176</v>
      </c>
      <c r="G42" s="643"/>
      <c r="H42" s="636" t="s">
        <v>1177</v>
      </c>
    </row>
    <row r="43" spans="1:9" ht="22.5" customHeight="1">
      <c r="A43" s="629"/>
      <c r="B43" s="626" t="s">
        <v>1243</v>
      </c>
      <c r="C43" s="627" t="s">
        <v>1244</v>
      </c>
      <c r="D43" s="618" t="s">
        <v>1245</v>
      </c>
      <c r="E43" s="619" t="s">
        <v>1246</v>
      </c>
      <c r="F43" s="620" t="s">
        <v>1176</v>
      </c>
      <c r="G43" s="643"/>
      <c r="H43" s="636" t="s">
        <v>1247</v>
      </c>
    </row>
    <row r="44" spans="1:9" ht="45" customHeight="1">
      <c r="B44" s="626" t="s">
        <v>1248</v>
      </c>
      <c r="C44" s="627" t="s">
        <v>1249</v>
      </c>
      <c r="D44" s="618" t="s">
        <v>1250</v>
      </c>
      <c r="E44" s="619" t="s">
        <v>1251</v>
      </c>
      <c r="F44" s="644"/>
      <c r="G44" s="643"/>
      <c r="H44" s="636" t="s">
        <v>1252</v>
      </c>
    </row>
    <row r="45" spans="1:9" ht="45" customHeight="1">
      <c r="A45" s="745"/>
      <c r="B45" s="753" t="s">
        <v>1253</v>
      </c>
      <c r="C45" s="751" t="s">
        <v>1254</v>
      </c>
      <c r="D45" s="624" t="s">
        <v>1255</v>
      </c>
      <c r="E45" s="624" t="s">
        <v>1256</v>
      </c>
      <c r="F45" s="624" t="s">
        <v>1176</v>
      </c>
      <c r="G45" s="620" t="s">
        <v>1257</v>
      </c>
      <c r="H45" s="636" t="s">
        <v>1247</v>
      </c>
    </row>
    <row r="46" spans="1:9" ht="45" customHeight="1">
      <c r="A46" s="745"/>
      <c r="B46" s="753"/>
      <c r="C46" s="752"/>
      <c r="D46" s="624" t="s">
        <v>1258</v>
      </c>
      <c r="E46" s="624" t="s">
        <v>1259</v>
      </c>
      <c r="F46" s="624" t="s">
        <v>1176</v>
      </c>
      <c r="G46" s="620" t="s">
        <v>1260</v>
      </c>
      <c r="H46" s="636" t="s">
        <v>1247</v>
      </c>
    </row>
    <row r="50" spans="8:8" ht="22.5" customHeight="1">
      <c r="H50" s="642">
        <f>COUNTBLANK(H7:H24)+COUNTBLANK(H31:H46)</f>
        <v>0</v>
      </c>
    </row>
  </sheetData>
  <sheetProtection algorithmName="SHA-512" hashValue="d6vJbpyWXREbnha39n63vIo11Vshb/zB/ceuAhVS2Pw+ye8MYkLsSGEY1St13V3P60qDgo6yJPDdt3EKy5N7Bg==" saltValue="JLMCOXrTUGi9Pc+OHdrmRg==" spinCount="100000" sheet="1" objects="1" scenarios="1"/>
  <customSheetViews>
    <customSheetView guid="{EBCA391C-5ACD-495F-8ED1-C69B7D739622}" scale="85" showGridLines="0" printArea="1" hiddenColumns="1" topLeftCell="A19">
      <selection activeCell="H42" sqref="H42"/>
      <rowBreaks count="1" manualBreakCount="1">
        <brk id="33" min="1" max="5" man="1"/>
      </rowBreaks>
      <pageMargins left="0" right="0" top="0" bottom="0" header="0" footer="0"/>
      <pageSetup scale="62" orientation="landscape" r:id="rId1"/>
      <headerFooter>
        <oddFooter>&amp;CSchedule 18 Page 2 of 2</oddFooter>
      </headerFooter>
    </customSheetView>
  </customSheetViews>
  <mergeCells count="30">
    <mergeCell ref="A26:A27"/>
    <mergeCell ref="C29:C30"/>
    <mergeCell ref="B29:B30"/>
    <mergeCell ref="A29:A30"/>
    <mergeCell ref="C45:C46"/>
    <mergeCell ref="B45:B46"/>
    <mergeCell ref="A45:A46"/>
    <mergeCell ref="B31:B33"/>
    <mergeCell ref="B38:B41"/>
    <mergeCell ref="C35:C37"/>
    <mergeCell ref="C31:C33"/>
    <mergeCell ref="C26:C27"/>
    <mergeCell ref="B26:B27"/>
    <mergeCell ref="C38:C41"/>
    <mergeCell ref="B35:B37"/>
    <mergeCell ref="B2:H2"/>
    <mergeCell ref="B4:H4"/>
    <mergeCell ref="F21:F23"/>
    <mergeCell ref="F15:F17"/>
    <mergeCell ref="C9:C12"/>
    <mergeCell ref="C7:C8"/>
    <mergeCell ref="B7:B8"/>
    <mergeCell ref="B9:B12"/>
    <mergeCell ref="E40:E41"/>
    <mergeCell ref="E38:E39"/>
    <mergeCell ref="F18:F20"/>
    <mergeCell ref="C15:C23"/>
    <mergeCell ref="B15:B23"/>
    <mergeCell ref="F38:F39"/>
    <mergeCell ref="F40:F41"/>
  </mergeCells>
  <phoneticPr fontId="0" type="noConversion"/>
  <dataValidations count="2">
    <dataValidation type="list" allowBlank="1" showInputMessage="1" showErrorMessage="1" sqref="H42:H43 H24 H45:H46" xr:uid="{00000000-0002-0000-0600-000000000000}">
      <formula1>"Yes,No"</formula1>
    </dataValidation>
    <dataValidation type="list" allowBlank="1" showInputMessage="1" showErrorMessage="1" sqref="H44" xr:uid="{00000000-0002-0000-0600-000001000000}">
      <formula1>"DESE codes, Crosswalk, Both"</formula1>
    </dataValidation>
  </dataValidations>
  <hyperlinks>
    <hyperlink ref="C42" r:id="rId2" display="Does your school district maintain an accounting system that allows you to maintain financial data in accordance with 603 CMR 10.03 3(a)?" xr:uid="{00000000-0004-0000-0600-000000000000}"/>
  </hyperlinks>
  <pageMargins left="0.7" right="0.7" top="0.75" bottom="0.75" header="0.3" footer="0.3"/>
  <pageSetup scale="62" orientation="landscape" r:id="rId3"/>
  <headerFooter>
    <oddFooter>&amp;CSchedule 18 Page 2 of 2</oddFooter>
  </headerFooter>
  <rowBreaks count="1" manualBreakCount="1">
    <brk id="37" min="1" max="5" man="1"/>
  </rowBreaks>
  <ignoredErrors>
    <ignoredError sqref="B7 B9 B1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A1:AD105"/>
  <sheetViews>
    <sheetView topLeftCell="C1" workbookViewId="0">
      <selection activeCell="C2" sqref="C2:AC105"/>
    </sheetView>
  </sheetViews>
  <sheetFormatPr defaultColWidth="7.77734375" defaultRowHeight="15"/>
  <cols>
    <col min="1" max="2" width="7.77734375" style="3" hidden="1" customWidth="1"/>
    <col min="3" max="16384" width="7.77734375" style="3"/>
  </cols>
  <sheetData>
    <row r="1" spans="3:30">
      <c r="C1" s="118" t="str">
        <f>schedule3!H6</f>
        <v>000</v>
      </c>
      <c r="D1" s="712" t="s">
        <v>947</v>
      </c>
      <c r="E1" s="607">
        <v>1</v>
      </c>
      <c r="F1" s="607">
        <v>2</v>
      </c>
      <c r="G1" s="607">
        <v>3</v>
      </c>
      <c r="H1" s="607">
        <v>4</v>
      </c>
      <c r="I1" s="607">
        <v>5</v>
      </c>
      <c r="J1" s="607">
        <v>6</v>
      </c>
      <c r="K1" s="607">
        <v>7</v>
      </c>
      <c r="L1" s="607">
        <v>8</v>
      </c>
      <c r="M1" s="607">
        <v>9</v>
      </c>
      <c r="N1" s="607">
        <v>10</v>
      </c>
      <c r="O1" s="607">
        <v>11</v>
      </c>
      <c r="P1" s="607">
        <v>12</v>
      </c>
      <c r="Q1" s="607">
        <v>13</v>
      </c>
      <c r="R1" s="607">
        <v>14</v>
      </c>
      <c r="S1" s="607">
        <v>15</v>
      </c>
      <c r="T1" s="607">
        <v>16</v>
      </c>
      <c r="U1" s="607">
        <v>17</v>
      </c>
      <c r="V1" s="607">
        <v>18</v>
      </c>
      <c r="W1" s="607">
        <v>19</v>
      </c>
      <c r="X1" s="607">
        <v>20</v>
      </c>
      <c r="Y1" s="607">
        <v>21</v>
      </c>
      <c r="Z1" s="607">
        <v>22</v>
      </c>
      <c r="AA1" s="607">
        <v>23</v>
      </c>
      <c r="AB1" s="607">
        <v>24</v>
      </c>
      <c r="AC1" s="607">
        <v>25</v>
      </c>
    </row>
    <row r="2" spans="3:30">
      <c r="C2" s="352" t="s">
        <v>1108</v>
      </c>
      <c r="D2" s="31">
        <v>3401</v>
      </c>
      <c r="E2" s="3">
        <v>121000</v>
      </c>
      <c r="F2" s="3">
        <v>142900</v>
      </c>
      <c r="J2" s="3">
        <v>263900</v>
      </c>
      <c r="L2" s="3">
        <v>5000</v>
      </c>
      <c r="U2" s="3">
        <v>31383</v>
      </c>
      <c r="AD2" s="3">
        <v>300283</v>
      </c>
    </row>
    <row r="3" spans="3:30">
      <c r="C3" s="352" t="s">
        <v>1108</v>
      </c>
      <c r="D3" s="31">
        <v>3402</v>
      </c>
      <c r="F3" s="3">
        <v>57351</v>
      </c>
      <c r="J3" s="3">
        <v>57351</v>
      </c>
      <c r="AD3" s="3">
        <v>57351</v>
      </c>
    </row>
    <row r="4" spans="3:30">
      <c r="C4" s="352" t="s">
        <v>1108</v>
      </c>
      <c r="D4" s="31">
        <v>3403</v>
      </c>
      <c r="J4" s="3">
        <v>0</v>
      </c>
      <c r="AD4" s="3">
        <v>0</v>
      </c>
    </row>
    <row r="5" spans="3:30">
      <c r="C5" s="352" t="s">
        <v>1108</v>
      </c>
      <c r="D5" s="31">
        <v>3404</v>
      </c>
      <c r="F5" s="3">
        <v>29483</v>
      </c>
      <c r="J5" s="3">
        <v>29483</v>
      </c>
      <c r="L5" s="3">
        <v>625</v>
      </c>
      <c r="W5" s="3">
        <v>775.58</v>
      </c>
      <c r="AD5" s="3">
        <v>30884</v>
      </c>
    </row>
    <row r="6" spans="3:30">
      <c r="C6" s="352" t="s">
        <v>1108</v>
      </c>
      <c r="D6" s="31">
        <v>3405</v>
      </c>
      <c r="E6" s="3">
        <v>32287</v>
      </c>
      <c r="F6" s="3">
        <v>25612.17</v>
      </c>
      <c r="J6" s="3">
        <v>57899</v>
      </c>
      <c r="AA6" s="3">
        <v>31053</v>
      </c>
      <c r="AD6" s="3">
        <v>88952</v>
      </c>
    </row>
    <row r="7" spans="3:30">
      <c r="C7" s="352" t="s">
        <v>1108</v>
      </c>
      <c r="D7" s="31">
        <v>3406</v>
      </c>
      <c r="J7" s="3">
        <v>0</v>
      </c>
      <c r="AD7" s="3">
        <v>0</v>
      </c>
    </row>
    <row r="8" spans="3:30">
      <c r="C8" s="352" t="s">
        <v>1108</v>
      </c>
      <c r="D8" s="31">
        <v>3411</v>
      </c>
      <c r="J8" s="3">
        <v>0</v>
      </c>
      <c r="AD8" s="3">
        <v>0</v>
      </c>
    </row>
    <row r="9" spans="3:30">
      <c r="C9" s="352" t="s">
        <v>1108</v>
      </c>
      <c r="D9" s="31">
        <v>3412</v>
      </c>
      <c r="J9" s="3">
        <v>0</v>
      </c>
      <c r="AD9" s="3">
        <v>0</v>
      </c>
    </row>
    <row r="10" spans="3:30">
      <c r="C10" s="352" t="s">
        <v>1108</v>
      </c>
      <c r="D10" s="31">
        <v>3413</v>
      </c>
      <c r="J10" s="3">
        <v>0</v>
      </c>
      <c r="AD10" s="3">
        <v>0</v>
      </c>
    </row>
    <row r="11" spans="3:30">
      <c r="C11" s="352" t="s">
        <v>1108</v>
      </c>
      <c r="D11" s="31">
        <v>3414</v>
      </c>
      <c r="J11" s="3">
        <v>0</v>
      </c>
      <c r="AD11" s="3">
        <v>0</v>
      </c>
    </row>
    <row r="12" spans="3:30">
      <c r="C12" s="352" t="s">
        <v>1108</v>
      </c>
      <c r="D12" s="31">
        <v>3415</v>
      </c>
      <c r="J12" s="3">
        <v>0</v>
      </c>
      <c r="AD12" s="3">
        <v>0</v>
      </c>
    </row>
    <row r="13" spans="3:30">
      <c r="C13" s="352" t="s">
        <v>1108</v>
      </c>
      <c r="D13" s="31">
        <v>3416</v>
      </c>
      <c r="J13" s="3">
        <v>0</v>
      </c>
      <c r="AD13" s="3">
        <v>0</v>
      </c>
    </row>
    <row r="14" spans="3:30">
      <c r="C14" s="352" t="s">
        <v>1108</v>
      </c>
      <c r="D14" s="31">
        <v>3421</v>
      </c>
      <c r="J14" s="3">
        <v>0</v>
      </c>
      <c r="AD14" s="3">
        <v>0</v>
      </c>
    </row>
    <row r="15" spans="3:30">
      <c r="C15" s="352" t="s">
        <v>1108</v>
      </c>
      <c r="D15" s="31">
        <v>3422</v>
      </c>
      <c r="J15" s="3">
        <v>0</v>
      </c>
      <c r="AD15" s="3">
        <v>0</v>
      </c>
    </row>
    <row r="16" spans="3:30">
      <c r="C16" s="352" t="s">
        <v>1108</v>
      </c>
      <c r="D16" s="31">
        <v>3423</v>
      </c>
      <c r="J16" s="3">
        <v>0</v>
      </c>
      <c r="AD16" s="3">
        <v>0</v>
      </c>
    </row>
    <row r="17" spans="3:30">
      <c r="C17" s="352" t="s">
        <v>1108</v>
      </c>
      <c r="D17" s="31">
        <v>3424</v>
      </c>
      <c r="J17" s="3">
        <v>0</v>
      </c>
      <c r="AD17" s="3">
        <v>0</v>
      </c>
    </row>
    <row r="18" spans="3:30">
      <c r="C18" s="352" t="s">
        <v>1108</v>
      </c>
      <c r="D18" s="31">
        <v>3425</v>
      </c>
      <c r="J18" s="3">
        <v>0</v>
      </c>
      <c r="AD18" s="3">
        <v>0</v>
      </c>
    </row>
    <row r="19" spans="3:30">
      <c r="C19" s="352" t="s">
        <v>1108</v>
      </c>
      <c r="D19" s="31">
        <v>3426</v>
      </c>
      <c r="J19" s="3">
        <v>0</v>
      </c>
      <c r="AD19" s="3">
        <v>0</v>
      </c>
    </row>
    <row r="20" spans="3:30">
      <c r="C20" s="352" t="s">
        <v>1108</v>
      </c>
      <c r="D20" s="31">
        <v>3428</v>
      </c>
      <c r="I20" s="3">
        <v>886431</v>
      </c>
      <c r="J20" s="3">
        <v>886431</v>
      </c>
      <c r="AD20" s="3">
        <v>886431</v>
      </c>
    </row>
    <row r="21" spans="3:30">
      <c r="C21" s="352" t="s">
        <v>1108</v>
      </c>
      <c r="D21" s="31">
        <v>3429</v>
      </c>
      <c r="I21" s="3">
        <v>258111.48</v>
      </c>
      <c r="J21" s="3">
        <v>258111</v>
      </c>
      <c r="AD21" s="3">
        <v>258111</v>
      </c>
    </row>
    <row r="22" spans="3:30">
      <c r="C22" s="352" t="s">
        <v>1108</v>
      </c>
      <c r="D22" s="31">
        <v>3430</v>
      </c>
      <c r="J22" s="3">
        <v>0</v>
      </c>
      <c r="S22" s="3">
        <v>56691</v>
      </c>
      <c r="AD22" s="3">
        <v>56691</v>
      </c>
    </row>
    <row r="23" spans="3:30">
      <c r="C23" s="352" t="s">
        <v>1108</v>
      </c>
      <c r="D23" s="31">
        <v>3431</v>
      </c>
      <c r="J23" s="3">
        <v>0</v>
      </c>
      <c r="L23" s="3">
        <v>49805.03</v>
      </c>
      <c r="AD23" s="3">
        <v>49805</v>
      </c>
    </row>
    <row r="24" spans="3:30">
      <c r="C24" s="352" t="s">
        <v>1108</v>
      </c>
      <c r="D24" s="31">
        <v>3432</v>
      </c>
      <c r="I24" s="3">
        <v>12917.51</v>
      </c>
      <c r="J24" s="3">
        <v>12918</v>
      </c>
      <c r="AD24" s="3">
        <v>12918</v>
      </c>
    </row>
    <row r="25" spans="3:30">
      <c r="C25" s="352" t="s">
        <v>1108</v>
      </c>
      <c r="D25" s="31">
        <v>3433</v>
      </c>
      <c r="I25" s="3">
        <v>8250.65</v>
      </c>
      <c r="J25" s="3">
        <v>8251</v>
      </c>
      <c r="AD25" s="3">
        <v>8251</v>
      </c>
    </row>
    <row r="26" spans="3:30">
      <c r="C26" s="352" t="s">
        <v>1108</v>
      </c>
      <c r="D26" s="31">
        <v>3444</v>
      </c>
      <c r="J26" s="3">
        <v>0</v>
      </c>
      <c r="AD26" s="3">
        <v>0</v>
      </c>
    </row>
    <row r="27" spans="3:30">
      <c r="C27" s="352" t="s">
        <v>1108</v>
      </c>
      <c r="D27" s="31">
        <v>3445</v>
      </c>
      <c r="J27" s="3">
        <v>0</v>
      </c>
      <c r="AD27" s="3">
        <v>0</v>
      </c>
    </row>
    <row r="28" spans="3:30">
      <c r="C28" s="352" t="s">
        <v>1108</v>
      </c>
      <c r="D28" s="31">
        <v>3446</v>
      </c>
      <c r="J28" s="3">
        <v>0</v>
      </c>
      <c r="AD28" s="3">
        <v>0</v>
      </c>
    </row>
    <row r="29" spans="3:30">
      <c r="C29" s="352" t="s">
        <v>1108</v>
      </c>
      <c r="D29" s="31">
        <v>3450</v>
      </c>
      <c r="E29" s="3">
        <v>7778201.3600000003</v>
      </c>
      <c r="F29" s="3">
        <v>1997251.1</v>
      </c>
      <c r="J29" s="3">
        <v>9775452</v>
      </c>
      <c r="L29" s="3">
        <v>321856.41000000003</v>
      </c>
      <c r="M29" s="3">
        <v>0</v>
      </c>
      <c r="O29" s="3">
        <v>50533.9</v>
      </c>
      <c r="P29" s="3">
        <v>696691.07</v>
      </c>
      <c r="U29" s="3">
        <v>30000</v>
      </c>
      <c r="W29" s="3">
        <v>122103.9</v>
      </c>
      <c r="AB29" s="3">
        <v>97119</v>
      </c>
      <c r="AD29" s="3">
        <v>11093756</v>
      </c>
    </row>
    <row r="30" spans="3:30">
      <c r="C30" s="352" t="s">
        <v>1108</v>
      </c>
      <c r="D30" s="31">
        <v>3452</v>
      </c>
      <c r="F30" s="3">
        <v>608200.54</v>
      </c>
      <c r="J30" s="3">
        <v>608201</v>
      </c>
      <c r="S30" s="3">
        <v>6843</v>
      </c>
      <c r="AD30" s="3">
        <v>615044</v>
      </c>
    </row>
    <row r="31" spans="3:30">
      <c r="C31" s="352" t="s">
        <v>1108</v>
      </c>
      <c r="D31" s="31">
        <v>3453</v>
      </c>
      <c r="J31" s="3">
        <v>0</v>
      </c>
      <c r="AD31" s="3">
        <v>0</v>
      </c>
    </row>
    <row r="32" spans="3:30">
      <c r="C32" s="352" t="s">
        <v>1108</v>
      </c>
      <c r="D32" s="31">
        <v>3454</v>
      </c>
      <c r="J32" s="3">
        <v>0</v>
      </c>
      <c r="AD32" s="3">
        <v>0</v>
      </c>
    </row>
    <row r="33" spans="3:30">
      <c r="C33" s="352" t="s">
        <v>1108</v>
      </c>
      <c r="D33" s="31">
        <v>3455</v>
      </c>
      <c r="J33" s="3">
        <v>0</v>
      </c>
      <c r="AD33" s="3">
        <v>0</v>
      </c>
    </row>
    <row r="34" spans="3:30">
      <c r="C34" s="352" t="s">
        <v>1108</v>
      </c>
      <c r="D34" s="31">
        <v>3456</v>
      </c>
      <c r="J34" s="3">
        <v>0</v>
      </c>
      <c r="Y34" s="3">
        <v>25233.4</v>
      </c>
      <c r="AD34" s="3">
        <v>25233</v>
      </c>
    </row>
    <row r="35" spans="3:30">
      <c r="C35" s="31" t="s">
        <v>1108</v>
      </c>
      <c r="D35" s="31" t="s">
        <v>1103</v>
      </c>
      <c r="J35" s="3">
        <v>0</v>
      </c>
      <c r="W35" s="3">
        <v>3608</v>
      </c>
      <c r="AD35" s="3">
        <v>3608</v>
      </c>
    </row>
    <row r="36" spans="3:30">
      <c r="C36" s="352" t="s">
        <v>1108</v>
      </c>
      <c r="D36" s="31">
        <v>3462</v>
      </c>
      <c r="J36" s="3">
        <v>0</v>
      </c>
      <c r="AD36" s="3">
        <v>0</v>
      </c>
    </row>
    <row r="37" spans="3:30">
      <c r="C37" s="352" t="s">
        <v>1108</v>
      </c>
      <c r="D37" s="31">
        <v>3463</v>
      </c>
      <c r="J37" s="3">
        <v>0</v>
      </c>
      <c r="AD37" s="3">
        <v>0</v>
      </c>
    </row>
    <row r="38" spans="3:30">
      <c r="C38" s="352" t="s">
        <v>1108</v>
      </c>
      <c r="D38" s="31">
        <v>3464</v>
      </c>
      <c r="J38" s="3">
        <v>0</v>
      </c>
      <c r="Y38" s="3">
        <v>275</v>
      </c>
      <c r="AD38" s="3">
        <v>275</v>
      </c>
    </row>
    <row r="39" spans="3:30">
      <c r="C39" s="352" t="s">
        <v>1108</v>
      </c>
      <c r="D39" s="147">
        <v>3467</v>
      </c>
      <c r="J39" s="3">
        <v>0</v>
      </c>
      <c r="O39" s="3">
        <v>41069.78</v>
      </c>
      <c r="AD39" s="3">
        <v>41070</v>
      </c>
    </row>
    <row r="40" spans="3:30">
      <c r="C40" s="352" t="s">
        <v>1108</v>
      </c>
      <c r="D40" s="31">
        <v>3468</v>
      </c>
      <c r="E40" s="3">
        <v>119774.99</v>
      </c>
      <c r="F40" s="3">
        <v>60145.08</v>
      </c>
      <c r="J40" s="3">
        <v>179920</v>
      </c>
      <c r="AD40" s="3">
        <v>179920</v>
      </c>
    </row>
    <row r="41" spans="3:30" ht="11.25" customHeight="1">
      <c r="C41" s="352" t="s">
        <v>1108</v>
      </c>
      <c r="D41" s="31">
        <v>3473</v>
      </c>
      <c r="E41" s="3">
        <v>96135.11</v>
      </c>
      <c r="F41" s="3">
        <v>1038772</v>
      </c>
      <c r="J41" s="3">
        <v>1134907</v>
      </c>
      <c r="M41" s="3">
        <v>511113</v>
      </c>
      <c r="P41" s="3">
        <v>79612.75</v>
      </c>
      <c r="U41" s="3">
        <v>224705</v>
      </c>
      <c r="W41" s="3">
        <v>3075</v>
      </c>
      <c r="AD41" s="3">
        <v>1953413</v>
      </c>
    </row>
    <row r="42" spans="3:30">
      <c r="C42" s="352" t="s">
        <v>1108</v>
      </c>
      <c r="D42" s="31">
        <v>3474</v>
      </c>
      <c r="J42" s="3">
        <v>0</v>
      </c>
      <c r="U42" s="3">
        <v>14252</v>
      </c>
      <c r="AD42" s="3">
        <v>14252</v>
      </c>
    </row>
    <row r="43" spans="3:30">
      <c r="C43" s="352" t="s">
        <v>1108</v>
      </c>
      <c r="D43" s="31">
        <v>3476</v>
      </c>
      <c r="I43" s="3">
        <v>191490</v>
      </c>
      <c r="J43" s="3">
        <v>191490</v>
      </c>
      <c r="AD43" s="3">
        <v>191490</v>
      </c>
    </row>
    <row r="44" spans="3:30">
      <c r="C44" s="352" t="s">
        <v>1108</v>
      </c>
      <c r="D44" s="31">
        <v>3477</v>
      </c>
      <c r="J44" s="3">
        <v>0</v>
      </c>
      <c r="AD44" s="3">
        <v>0</v>
      </c>
    </row>
    <row r="45" spans="3:30">
      <c r="C45" s="352" t="s">
        <v>1108</v>
      </c>
      <c r="D45" s="31">
        <v>3478</v>
      </c>
      <c r="J45" s="3">
        <v>0</v>
      </c>
      <c r="AD45" s="3">
        <v>0</v>
      </c>
    </row>
    <row r="46" spans="3:30">
      <c r="C46" s="352" t="s">
        <v>1108</v>
      </c>
      <c r="D46" s="31">
        <v>3481</v>
      </c>
      <c r="J46" s="3">
        <v>0</v>
      </c>
      <c r="AD46" s="3">
        <v>0</v>
      </c>
    </row>
    <row r="47" spans="3:30">
      <c r="C47" s="352" t="s">
        <v>1108</v>
      </c>
      <c r="D47" s="31">
        <v>3482</v>
      </c>
      <c r="J47" s="3">
        <v>0</v>
      </c>
      <c r="AD47" s="3">
        <v>0</v>
      </c>
    </row>
    <row r="48" spans="3:30">
      <c r="C48" s="352" t="s">
        <v>1108</v>
      </c>
      <c r="D48" s="31">
        <v>3485</v>
      </c>
      <c r="J48" s="3">
        <v>0</v>
      </c>
      <c r="AD48" s="3">
        <v>0</v>
      </c>
    </row>
    <row r="49" spans="3:30">
      <c r="C49" s="352" t="s">
        <v>1108</v>
      </c>
      <c r="D49" s="31">
        <v>3487</v>
      </c>
      <c r="J49" s="3">
        <v>0</v>
      </c>
      <c r="AD49" s="3">
        <v>0</v>
      </c>
    </row>
    <row r="50" spans="3:30">
      <c r="C50" s="352" t="s">
        <v>1108</v>
      </c>
      <c r="D50" s="31">
        <v>3488</v>
      </c>
      <c r="J50" s="3">
        <v>0</v>
      </c>
      <c r="AD50" s="3">
        <v>0</v>
      </c>
    </row>
    <row r="51" spans="3:30">
      <c r="C51" s="352" t="s">
        <v>1108</v>
      </c>
      <c r="D51" s="31">
        <v>3489</v>
      </c>
      <c r="J51" s="3">
        <v>0</v>
      </c>
      <c r="AD51" s="3">
        <v>0</v>
      </c>
    </row>
    <row r="52" spans="3:30">
      <c r="C52" s="352" t="s">
        <v>1108</v>
      </c>
      <c r="D52" s="31">
        <v>3490</v>
      </c>
      <c r="J52" s="3">
        <v>0</v>
      </c>
      <c r="AD52" s="3">
        <v>0</v>
      </c>
    </row>
    <row r="53" spans="3:30">
      <c r="C53" s="352" t="s">
        <v>1108</v>
      </c>
      <c r="D53" s="31">
        <v>3491</v>
      </c>
      <c r="J53" s="3">
        <v>0</v>
      </c>
      <c r="AD53" s="3">
        <v>0</v>
      </c>
    </row>
    <row r="54" spans="3:30">
      <c r="C54" s="352" t="s">
        <v>1108</v>
      </c>
      <c r="D54" s="31">
        <v>3492</v>
      </c>
      <c r="J54" s="3">
        <v>0</v>
      </c>
      <c r="AD54" s="3">
        <v>0</v>
      </c>
    </row>
    <row r="55" spans="3:30">
      <c r="C55" s="352" t="s">
        <v>1108</v>
      </c>
      <c r="D55" s="31">
        <v>3494</v>
      </c>
      <c r="J55" s="3">
        <v>0</v>
      </c>
      <c r="AD55" s="3">
        <v>0</v>
      </c>
    </row>
    <row r="56" spans="3:30">
      <c r="C56" s="352" t="s">
        <v>1108</v>
      </c>
      <c r="D56" s="31">
        <v>3495</v>
      </c>
      <c r="J56" s="3">
        <v>0</v>
      </c>
      <c r="AD56" s="3">
        <v>0</v>
      </c>
    </row>
    <row r="57" spans="3:30">
      <c r="C57" s="352" t="s">
        <v>1108</v>
      </c>
      <c r="D57" s="31">
        <v>3496</v>
      </c>
      <c r="J57" s="3">
        <v>0</v>
      </c>
      <c r="AD57" s="3">
        <v>0</v>
      </c>
    </row>
    <row r="58" spans="3:30">
      <c r="C58" s="352" t="s">
        <v>1108</v>
      </c>
      <c r="D58" s="31">
        <v>3497</v>
      </c>
      <c r="J58" s="3">
        <v>0</v>
      </c>
      <c r="AD58" s="3">
        <v>0</v>
      </c>
    </row>
    <row r="59" spans="3:30">
      <c r="C59" s="352" t="s">
        <v>1108</v>
      </c>
      <c r="D59" s="31">
        <v>3499</v>
      </c>
      <c r="J59" s="3">
        <v>0</v>
      </c>
      <c r="AD59" s="3">
        <v>0</v>
      </c>
    </row>
    <row r="60" spans="3:30">
      <c r="C60" s="352" t="s">
        <v>1108</v>
      </c>
      <c r="D60" s="31">
        <v>3501</v>
      </c>
      <c r="J60" s="3">
        <v>0</v>
      </c>
      <c r="AD60" s="3">
        <v>0</v>
      </c>
    </row>
    <row r="61" spans="3:30">
      <c r="C61" s="352" t="s">
        <v>1108</v>
      </c>
      <c r="D61" s="31">
        <v>3502</v>
      </c>
      <c r="J61" s="3">
        <v>0</v>
      </c>
      <c r="AD61" s="3">
        <v>0</v>
      </c>
    </row>
    <row r="62" spans="3:30">
      <c r="C62" s="352" t="s">
        <v>1108</v>
      </c>
      <c r="D62" s="31">
        <v>3503</v>
      </c>
      <c r="J62" s="3">
        <v>0</v>
      </c>
      <c r="AD62" s="3">
        <v>0</v>
      </c>
    </row>
    <row r="63" spans="3:30">
      <c r="C63" s="352" t="s">
        <v>1108</v>
      </c>
      <c r="D63" s="31">
        <v>3504</v>
      </c>
      <c r="J63" s="3">
        <v>0</v>
      </c>
      <c r="U63" s="3">
        <v>770</v>
      </c>
      <c r="W63" s="3">
        <v>487</v>
      </c>
      <c r="AD63" s="3">
        <v>1257</v>
      </c>
    </row>
    <row r="64" spans="3:30">
      <c r="C64" s="352" t="s">
        <v>1108</v>
      </c>
      <c r="D64" s="31">
        <v>3506</v>
      </c>
      <c r="E64" s="3">
        <v>21495</v>
      </c>
      <c r="F64" s="3">
        <v>5000</v>
      </c>
      <c r="J64" s="3">
        <v>26495</v>
      </c>
      <c r="AD64" s="3">
        <v>26495</v>
      </c>
    </row>
    <row r="65" spans="3:30">
      <c r="C65" s="352" t="s">
        <v>1108</v>
      </c>
      <c r="D65" s="31">
        <v>3507</v>
      </c>
      <c r="J65" s="3">
        <v>0</v>
      </c>
      <c r="AD65" s="3">
        <v>0</v>
      </c>
    </row>
    <row r="66" spans="3:30">
      <c r="C66" s="352" t="s">
        <v>1108</v>
      </c>
      <c r="D66" s="31">
        <v>3508</v>
      </c>
      <c r="J66" s="3">
        <v>0</v>
      </c>
      <c r="AD66" s="3">
        <v>0</v>
      </c>
    </row>
    <row r="67" spans="3:30">
      <c r="C67" s="352" t="s">
        <v>1108</v>
      </c>
      <c r="D67" s="31">
        <v>3511</v>
      </c>
      <c r="E67" s="3">
        <v>4281</v>
      </c>
      <c r="J67" s="3">
        <v>4281</v>
      </c>
      <c r="AC67" s="3">
        <v>248</v>
      </c>
      <c r="AD67" s="3">
        <v>4529</v>
      </c>
    </row>
    <row r="68" spans="3:30">
      <c r="C68" s="352" t="s">
        <v>1108</v>
      </c>
      <c r="D68" s="31">
        <v>3514</v>
      </c>
      <c r="J68" s="3">
        <v>0</v>
      </c>
      <c r="AB68" s="3">
        <v>169648</v>
      </c>
      <c r="AD68" s="3">
        <v>169648</v>
      </c>
    </row>
    <row r="69" spans="3:30">
      <c r="C69" s="352" t="s">
        <v>1108</v>
      </c>
      <c r="D69" s="31">
        <v>3515</v>
      </c>
      <c r="E69" s="3">
        <v>68931.12</v>
      </c>
      <c r="F69" s="3">
        <v>8192</v>
      </c>
      <c r="J69" s="3">
        <v>77123</v>
      </c>
      <c r="M69" s="3">
        <v>25638.760000000002</v>
      </c>
      <c r="S69" s="3">
        <v>791</v>
      </c>
      <c r="U69" s="3">
        <v>4791</v>
      </c>
      <c r="W69" s="3">
        <v>4763</v>
      </c>
      <c r="Y69" s="3">
        <v>25233</v>
      </c>
      <c r="AA69" s="3">
        <v>5500</v>
      </c>
      <c r="AC69" s="3">
        <v>2744</v>
      </c>
      <c r="AD69" s="3">
        <v>146584</v>
      </c>
    </row>
    <row r="70" spans="3:30">
      <c r="C70" s="352" t="s">
        <v>1108</v>
      </c>
      <c r="D70" s="31">
        <v>3516</v>
      </c>
      <c r="J70" s="3">
        <v>0</v>
      </c>
      <c r="M70" s="3">
        <v>2059.239999999998</v>
      </c>
      <c r="U70" s="3">
        <v>5637</v>
      </c>
      <c r="Y70" s="3">
        <v>150</v>
      </c>
      <c r="AD70" s="3">
        <v>15921</v>
      </c>
    </row>
    <row r="71" spans="3:30">
      <c r="C71" s="352" t="s">
        <v>1108</v>
      </c>
      <c r="D71" s="31">
        <v>3524</v>
      </c>
      <c r="J71" s="3">
        <v>0</v>
      </c>
      <c r="S71" s="3">
        <v>7</v>
      </c>
      <c r="AA71" s="3">
        <v>25000</v>
      </c>
      <c r="AD71" s="3">
        <v>25007</v>
      </c>
    </row>
    <row r="72" spans="3:30">
      <c r="C72" s="352" t="s">
        <v>1108</v>
      </c>
      <c r="D72" s="31">
        <v>3525</v>
      </c>
      <c r="E72" s="3">
        <v>54469.61</v>
      </c>
      <c r="J72" s="3">
        <v>54470</v>
      </c>
      <c r="AA72" s="3">
        <v>25000</v>
      </c>
      <c r="AD72" s="3">
        <v>79470</v>
      </c>
    </row>
    <row r="73" spans="3:30">
      <c r="C73" s="352" t="s">
        <v>1108</v>
      </c>
      <c r="D73" s="31">
        <v>3526</v>
      </c>
      <c r="J73" s="3">
        <v>0</v>
      </c>
      <c r="Y73" s="3">
        <v>581.99</v>
      </c>
      <c r="AB73" s="3">
        <v>25868</v>
      </c>
      <c r="AD73" s="3">
        <v>26450</v>
      </c>
    </row>
    <row r="74" spans="3:30">
      <c r="C74" s="352" t="s">
        <v>1108</v>
      </c>
      <c r="D74" s="31">
        <v>3535</v>
      </c>
      <c r="E74" s="3">
        <v>49062.41</v>
      </c>
      <c r="J74" s="3">
        <v>49062</v>
      </c>
      <c r="O74" s="3">
        <v>6322</v>
      </c>
      <c r="AD74" s="3">
        <v>55384</v>
      </c>
    </row>
    <row r="75" spans="3:30">
      <c r="C75" s="352" t="s">
        <v>1108</v>
      </c>
      <c r="D75" s="31">
        <v>3540</v>
      </c>
      <c r="J75" s="3">
        <v>0</v>
      </c>
      <c r="AD75" s="3">
        <v>0</v>
      </c>
    </row>
    <row r="76" spans="3:30">
      <c r="C76" s="352" t="s">
        <v>1108</v>
      </c>
      <c r="D76" s="31">
        <v>3541</v>
      </c>
      <c r="E76" s="3">
        <v>4205</v>
      </c>
      <c r="J76" s="3">
        <v>4205</v>
      </c>
      <c r="Y76" s="3">
        <v>705</v>
      </c>
      <c r="AD76" s="3">
        <v>4910</v>
      </c>
    </row>
    <row r="77" spans="3:30">
      <c r="C77" s="352" t="s">
        <v>1108</v>
      </c>
      <c r="D77" s="31">
        <v>3542</v>
      </c>
      <c r="J77" s="3">
        <v>0</v>
      </c>
      <c r="AD77" s="3">
        <v>0</v>
      </c>
    </row>
    <row r="78" spans="3:30">
      <c r="C78" s="352" t="s">
        <v>1108</v>
      </c>
      <c r="D78" s="31">
        <v>3543</v>
      </c>
      <c r="E78" s="3">
        <v>800</v>
      </c>
      <c r="J78" s="3">
        <v>800</v>
      </c>
      <c r="M78" s="3">
        <v>18643</v>
      </c>
      <c r="AC78" s="3">
        <v>12995</v>
      </c>
      <c r="AD78" s="3">
        <v>32438</v>
      </c>
    </row>
    <row r="79" spans="3:30">
      <c r="C79" s="352" t="s">
        <v>1108</v>
      </c>
      <c r="D79" s="31">
        <v>3545</v>
      </c>
      <c r="E79" s="3">
        <v>18641.68</v>
      </c>
      <c r="J79" s="3">
        <v>18642</v>
      </c>
      <c r="AD79" s="3">
        <v>18642</v>
      </c>
    </row>
    <row r="80" spans="3:30">
      <c r="C80" s="352" t="s">
        <v>1108</v>
      </c>
      <c r="D80" s="31">
        <v>3546</v>
      </c>
      <c r="E80" s="3">
        <v>10363.799999999999</v>
      </c>
      <c r="J80" s="3">
        <v>10364</v>
      </c>
      <c r="AD80" s="3">
        <v>10364</v>
      </c>
    </row>
    <row r="81" spans="3:30">
      <c r="C81" s="352" t="s">
        <v>1108</v>
      </c>
      <c r="D81" s="31">
        <v>3547</v>
      </c>
      <c r="J81" s="3">
        <v>0</v>
      </c>
      <c r="AD81" s="3">
        <v>0</v>
      </c>
    </row>
    <row r="82" spans="3:30">
      <c r="C82" s="352" t="s">
        <v>1108</v>
      </c>
      <c r="D82" s="31">
        <v>3549</v>
      </c>
      <c r="J82" s="3">
        <v>0</v>
      </c>
      <c r="AD82" s="3">
        <v>0</v>
      </c>
    </row>
    <row r="83" spans="3:30">
      <c r="C83" s="352" t="s">
        <v>1108</v>
      </c>
      <c r="D83" s="31">
        <v>3550</v>
      </c>
      <c r="J83" s="3">
        <v>0</v>
      </c>
      <c r="AA83" s="3">
        <v>50000</v>
      </c>
      <c r="AD83" s="3">
        <v>50000</v>
      </c>
    </row>
    <row r="84" spans="3:30">
      <c r="C84" s="352" t="s">
        <v>1108</v>
      </c>
      <c r="D84" s="31">
        <v>3551</v>
      </c>
      <c r="J84" s="3">
        <v>0</v>
      </c>
      <c r="AD84" s="3">
        <v>0</v>
      </c>
    </row>
    <row r="85" spans="3:30">
      <c r="C85" s="352" t="s">
        <v>1108</v>
      </c>
      <c r="D85" s="31">
        <v>3553</v>
      </c>
      <c r="J85" s="3">
        <v>0</v>
      </c>
      <c r="AD85" s="3">
        <v>0</v>
      </c>
    </row>
    <row r="86" spans="3:30">
      <c r="C86" s="352" t="s">
        <v>1108</v>
      </c>
      <c r="D86" s="31">
        <v>3554</v>
      </c>
      <c r="J86" s="3">
        <v>0</v>
      </c>
      <c r="AD86" s="3">
        <v>0</v>
      </c>
    </row>
    <row r="87" spans="3:30">
      <c r="C87" s="352" t="s">
        <v>1108</v>
      </c>
      <c r="D87" s="31">
        <v>3555</v>
      </c>
      <c r="J87" s="3">
        <v>0</v>
      </c>
      <c r="AD87" s="3">
        <v>0</v>
      </c>
    </row>
    <row r="88" spans="3:30">
      <c r="C88" s="352" t="s">
        <v>1108</v>
      </c>
      <c r="D88" s="31">
        <v>3561</v>
      </c>
      <c r="E88" s="3">
        <v>324799</v>
      </c>
      <c r="J88" s="3">
        <v>324799</v>
      </c>
      <c r="O88" s="3">
        <v>50533.9</v>
      </c>
      <c r="P88" s="3">
        <v>378271.07</v>
      </c>
      <c r="AD88" s="3">
        <v>753604</v>
      </c>
    </row>
    <row r="89" spans="3:30">
      <c r="C89" s="352" t="s">
        <v>1108</v>
      </c>
      <c r="D89" s="31">
        <v>3562</v>
      </c>
      <c r="E89" s="3">
        <v>38864.720000000001</v>
      </c>
      <c r="J89" s="3">
        <v>38865</v>
      </c>
      <c r="AD89" s="3">
        <v>38865</v>
      </c>
    </row>
    <row r="90" spans="3:30">
      <c r="C90" s="352" t="s">
        <v>1108</v>
      </c>
      <c r="D90" s="31">
        <v>3563</v>
      </c>
      <c r="E90" s="3">
        <v>5431.53</v>
      </c>
      <c r="J90" s="3">
        <v>5432</v>
      </c>
      <c r="AD90" s="3">
        <v>5432</v>
      </c>
    </row>
    <row r="91" spans="3:30">
      <c r="C91" s="352" t="s">
        <v>1108</v>
      </c>
      <c r="D91" s="31">
        <v>3564</v>
      </c>
      <c r="E91" s="3">
        <v>13887.26</v>
      </c>
      <c r="J91" s="3">
        <v>13887</v>
      </c>
      <c r="AD91" s="3">
        <v>13887</v>
      </c>
    </row>
    <row r="92" spans="3:30">
      <c r="C92" s="352" t="s">
        <v>1108</v>
      </c>
      <c r="D92" s="31">
        <v>3565</v>
      </c>
      <c r="E92" s="3">
        <v>4435.58</v>
      </c>
      <c r="J92" s="3">
        <v>4436</v>
      </c>
      <c r="AD92" s="3">
        <v>4436</v>
      </c>
    </row>
    <row r="93" spans="3:30">
      <c r="C93" s="352" t="s">
        <v>1108</v>
      </c>
      <c r="D93" s="31">
        <v>3566</v>
      </c>
      <c r="J93" s="3">
        <v>0</v>
      </c>
      <c r="AD93" s="3">
        <v>0</v>
      </c>
    </row>
    <row r="94" spans="3:30">
      <c r="C94" s="352" t="s">
        <v>1108</v>
      </c>
      <c r="D94" s="31">
        <v>3571</v>
      </c>
      <c r="J94" s="3">
        <v>0</v>
      </c>
      <c r="AD94" s="3">
        <v>0</v>
      </c>
    </row>
    <row r="95" spans="3:30">
      <c r="C95" s="352" t="s">
        <v>1108</v>
      </c>
      <c r="D95" s="31">
        <v>3572</v>
      </c>
      <c r="J95" s="3">
        <v>0</v>
      </c>
      <c r="AD95" s="3">
        <v>0</v>
      </c>
    </row>
    <row r="96" spans="3:30">
      <c r="C96" s="352" t="s">
        <v>1108</v>
      </c>
      <c r="D96" s="31">
        <v>3573</v>
      </c>
      <c r="J96" s="3">
        <v>0</v>
      </c>
      <c r="AD96" s="3">
        <v>0</v>
      </c>
    </row>
    <row r="97" spans="3:30">
      <c r="C97" s="352" t="s">
        <v>1108</v>
      </c>
      <c r="D97" s="31">
        <v>3574</v>
      </c>
      <c r="J97" s="3">
        <v>0</v>
      </c>
      <c r="AD97" s="3">
        <v>0</v>
      </c>
    </row>
    <row r="98" spans="3:30">
      <c r="C98" s="352" t="s">
        <v>1108</v>
      </c>
      <c r="D98" s="31">
        <v>3575</v>
      </c>
      <c r="J98" s="3">
        <v>0</v>
      </c>
      <c r="AD98" s="3">
        <v>0</v>
      </c>
    </row>
    <row r="99" spans="3:30">
      <c r="C99" s="352" t="s">
        <v>1108</v>
      </c>
      <c r="D99" s="31">
        <v>3576</v>
      </c>
      <c r="J99" s="3">
        <v>0</v>
      </c>
      <c r="AD99" s="3">
        <v>0</v>
      </c>
    </row>
    <row r="100" spans="3:30">
      <c r="C100" s="352" t="s">
        <v>1108</v>
      </c>
      <c r="D100" s="31">
        <v>3581</v>
      </c>
      <c r="E100" s="3">
        <v>184049</v>
      </c>
      <c r="J100" s="3">
        <v>184049</v>
      </c>
      <c r="P100" s="3">
        <v>200000.07</v>
      </c>
      <c r="AD100" s="3">
        <v>384049</v>
      </c>
    </row>
    <row r="101" spans="3:30">
      <c r="C101" s="352" t="s">
        <v>1108</v>
      </c>
      <c r="D101" s="31">
        <v>3582</v>
      </c>
      <c r="J101" s="3">
        <v>0</v>
      </c>
      <c r="AD101" s="3">
        <v>0</v>
      </c>
    </row>
    <row r="102" spans="3:30">
      <c r="C102" s="352" t="s">
        <v>1108</v>
      </c>
      <c r="D102" s="31">
        <v>3583</v>
      </c>
      <c r="J102" s="3">
        <v>0</v>
      </c>
      <c r="AD102" s="3">
        <v>0</v>
      </c>
    </row>
    <row r="103" spans="3:30">
      <c r="C103" s="352" t="s">
        <v>1108</v>
      </c>
      <c r="D103" s="31">
        <v>3584</v>
      </c>
      <c r="J103" s="3">
        <v>0</v>
      </c>
      <c r="AD103" s="3">
        <v>0</v>
      </c>
    </row>
    <row r="104" spans="3:30">
      <c r="C104" s="352" t="s">
        <v>1108</v>
      </c>
      <c r="D104" s="31">
        <v>3585</v>
      </c>
      <c r="E104" s="3">
        <v>6663</v>
      </c>
      <c r="J104" s="3">
        <v>6663</v>
      </c>
      <c r="AD104" s="3">
        <v>6663</v>
      </c>
    </row>
    <row r="105" spans="3:30">
      <c r="C105" s="352" t="s">
        <v>1108</v>
      </c>
      <c r="D105" s="31">
        <v>3586</v>
      </c>
      <c r="J105" s="3">
        <v>0</v>
      </c>
      <c r="AD105" s="3">
        <v>0</v>
      </c>
    </row>
  </sheetData>
  <customSheetViews>
    <customSheetView guid="{EBCA391C-5ACD-495F-8ED1-C69B7D739622}" hiddenColumns="1" topLeftCell="C1">
      <selection activeCell="C2" sqref="C2"/>
      <pageMargins left="0" right="0" top="0" bottom="0" header="0" footer="0"/>
      <pageSetup orientation="portrait"/>
      <headerFooter alignWithMargins="0"/>
    </customSheetView>
  </customSheetViews>
  <phoneticPr fontId="0" type="noConversion"/>
  <dataValidations count="2">
    <dataValidation type="decimal" operator="greaterThanOrEqual" allowBlank="1" showInputMessage="1" showErrorMessage="1" sqref="D36:D99 D2:D33 C36:C105 C2:C34 W2:W103 E2:V28 E29:I29 K29:V29 E30:V93 E98:V103" xr:uid="{00000000-0002-0000-0700-000000000000}">
      <formula1>0</formula1>
    </dataValidation>
    <dataValidation operator="greaterThanOrEqual" allowBlank="1" showInputMessage="1" showErrorMessage="1" sqref="D100:D105" xr:uid="{00000000-0002-0000-0700-000001000000}"/>
  </dataValidation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theme="6"/>
  </sheetPr>
  <dimension ref="A1:AB4495"/>
  <sheetViews>
    <sheetView workbookViewId="0">
      <selection activeCell="D320" sqref="D320:D632"/>
    </sheetView>
  </sheetViews>
  <sheetFormatPr defaultColWidth="8.77734375" defaultRowHeight="12" customHeight="1"/>
  <cols>
    <col min="1" max="1" width="8.77734375" style="352" customWidth="1"/>
    <col min="2" max="2" width="5.44140625" style="352" customWidth="1"/>
    <col min="3" max="11" width="9.77734375" style="3" customWidth="1"/>
    <col min="12" max="19" width="11.109375" style="3" customWidth="1"/>
    <col min="20" max="20" width="12.109375" style="3" customWidth="1"/>
    <col min="21" max="21" width="9.5546875" style="3" bestFit="1" customWidth="1"/>
    <col min="22" max="16384" width="8.77734375" style="3"/>
  </cols>
  <sheetData>
    <row r="1" spans="1:28" s="23" customFormat="1" ht="12" customHeight="1">
      <c r="A1" s="22"/>
      <c r="B1" s="22"/>
      <c r="C1" s="513">
        <v>1</v>
      </c>
      <c r="D1" s="513">
        <v>2</v>
      </c>
      <c r="E1" s="513">
        <v>3</v>
      </c>
      <c r="F1" s="513">
        <v>4</v>
      </c>
      <c r="G1" s="513">
        <v>5</v>
      </c>
      <c r="H1" s="513">
        <v>6</v>
      </c>
      <c r="I1" s="513">
        <v>7</v>
      </c>
      <c r="J1" s="513">
        <v>8</v>
      </c>
      <c r="K1" s="513">
        <v>9</v>
      </c>
      <c r="L1" s="513">
        <v>10</v>
      </c>
      <c r="M1" s="513">
        <v>11</v>
      </c>
      <c r="N1" s="513">
        <v>12</v>
      </c>
      <c r="O1" s="513">
        <v>13</v>
      </c>
      <c r="P1" s="513">
        <v>14</v>
      </c>
      <c r="Q1" s="513">
        <v>15</v>
      </c>
      <c r="R1" s="513">
        <v>16</v>
      </c>
      <c r="S1" s="513">
        <v>17</v>
      </c>
      <c r="T1" s="513">
        <v>18</v>
      </c>
      <c r="U1" s="513">
        <v>19</v>
      </c>
      <c r="V1" s="513">
        <v>20</v>
      </c>
      <c r="W1" s="513">
        <v>21</v>
      </c>
      <c r="X1" s="513">
        <v>22</v>
      </c>
      <c r="Y1" s="513">
        <v>23</v>
      </c>
      <c r="Z1" s="513">
        <v>24</v>
      </c>
      <c r="AA1" s="513">
        <v>25</v>
      </c>
      <c r="AB1" s="513">
        <v>26</v>
      </c>
    </row>
    <row r="2" spans="1:28" s="23" customFormat="1" ht="12" customHeight="1">
      <c r="A2" s="22"/>
      <c r="B2" s="22"/>
      <c r="C2" s="532"/>
      <c r="D2" s="532"/>
      <c r="E2" s="532"/>
      <c r="F2" s="533"/>
      <c r="G2" s="532"/>
      <c r="H2" s="532"/>
      <c r="I2" s="532"/>
      <c r="J2" s="725" t="s">
        <v>1067</v>
      </c>
      <c r="K2" s="726"/>
      <c r="L2" s="726"/>
      <c r="M2" s="726"/>
      <c r="N2" s="726"/>
      <c r="O2" s="726"/>
      <c r="P2" s="726"/>
      <c r="Q2" s="726"/>
      <c r="R2" s="726"/>
      <c r="S2" s="726"/>
      <c r="T2" s="727"/>
      <c r="U2" s="725" t="s">
        <v>1068</v>
      </c>
      <c r="V2" s="726"/>
      <c r="W2" s="727"/>
      <c r="X2" s="720" t="s">
        <v>1069</v>
      </c>
      <c r="Y2" s="721"/>
      <c r="Z2" s="721"/>
      <c r="AA2" s="722"/>
      <c r="AB2" s="534"/>
    </row>
    <row r="3" spans="1:28" s="23" customFormat="1" ht="12" customHeight="1">
      <c r="A3" s="22"/>
      <c r="B3" s="22"/>
      <c r="C3" s="535"/>
      <c r="D3" s="535"/>
      <c r="E3" s="536"/>
      <c r="F3" s="662" t="s">
        <v>1261</v>
      </c>
      <c r="G3" s="535"/>
      <c r="H3" s="530"/>
      <c r="I3" s="530"/>
      <c r="J3" s="537"/>
      <c r="K3" s="538"/>
      <c r="L3" s="538"/>
      <c r="M3" s="538"/>
      <c r="N3" s="538"/>
      <c r="O3" s="528" t="s">
        <v>1073</v>
      </c>
      <c r="P3" s="528"/>
      <c r="Q3" s="530" t="s">
        <v>58</v>
      </c>
      <c r="R3" s="530" t="s">
        <v>212</v>
      </c>
      <c r="S3" s="530"/>
      <c r="T3" s="530"/>
      <c r="U3" s="530"/>
      <c r="V3" s="530" t="s">
        <v>212</v>
      </c>
      <c r="W3" s="530"/>
      <c r="X3" s="530"/>
      <c r="Y3" s="530"/>
      <c r="Z3" s="530" t="s">
        <v>224</v>
      </c>
      <c r="AA3" s="530"/>
      <c r="AB3" s="530" t="s">
        <v>133</v>
      </c>
    </row>
    <row r="4" spans="1:28" s="23" customFormat="1" ht="12" customHeight="1">
      <c r="A4" s="22"/>
      <c r="B4" s="22"/>
      <c r="C4" s="530"/>
      <c r="D4" s="530"/>
      <c r="E4" s="528" t="s">
        <v>1071</v>
      </c>
      <c r="F4" s="663" t="s">
        <v>1072</v>
      </c>
      <c r="G4" s="530"/>
      <c r="H4" s="530" t="s">
        <v>133</v>
      </c>
      <c r="I4" s="530"/>
      <c r="J4" s="530"/>
      <c r="K4" s="530"/>
      <c r="L4" s="530"/>
      <c r="M4" s="530"/>
      <c r="N4" s="530"/>
      <c r="O4" s="530" t="s">
        <v>1084</v>
      </c>
      <c r="P4" s="530"/>
      <c r="Q4" s="530" t="s">
        <v>212</v>
      </c>
      <c r="R4" s="530" t="s">
        <v>1074</v>
      </c>
      <c r="S4" s="530"/>
      <c r="T4" s="713"/>
      <c r="U4" s="530" t="s">
        <v>212</v>
      </c>
      <c r="V4" s="530" t="s">
        <v>1074</v>
      </c>
      <c r="W4" s="530" t="s">
        <v>58</v>
      </c>
      <c r="X4" s="530"/>
      <c r="Y4" s="530"/>
      <c r="Z4" s="530" t="s">
        <v>1075</v>
      </c>
      <c r="AA4" s="530" t="s">
        <v>58</v>
      </c>
      <c r="AB4" s="530" t="s">
        <v>1076</v>
      </c>
    </row>
    <row r="5" spans="1:28" s="23" customFormat="1" ht="12" customHeight="1">
      <c r="A5" s="22"/>
      <c r="B5" s="713"/>
      <c r="C5" s="530" t="s">
        <v>1077</v>
      </c>
      <c r="D5" s="539" t="s">
        <v>1078</v>
      </c>
      <c r="E5" s="528" t="s">
        <v>1079</v>
      </c>
      <c r="F5" s="540" t="s">
        <v>58</v>
      </c>
      <c r="G5" s="530"/>
      <c r="H5" s="530" t="s">
        <v>224</v>
      </c>
      <c r="I5" s="541" t="s">
        <v>1080</v>
      </c>
      <c r="J5" s="530" t="s">
        <v>217</v>
      </c>
      <c r="K5" s="530" t="s">
        <v>218</v>
      </c>
      <c r="L5" s="530" t="s">
        <v>1081</v>
      </c>
      <c r="M5" s="530" t="s">
        <v>1082</v>
      </c>
      <c r="N5" s="530" t="s">
        <v>1083</v>
      </c>
      <c r="O5" s="530" t="s">
        <v>1097</v>
      </c>
      <c r="P5" s="530"/>
      <c r="Q5" s="530" t="s">
        <v>1074</v>
      </c>
      <c r="R5" s="530" t="s">
        <v>1085</v>
      </c>
      <c r="S5" s="530" t="s">
        <v>58</v>
      </c>
      <c r="T5" s="530"/>
      <c r="U5" s="530" t="s">
        <v>1074</v>
      </c>
      <c r="V5" s="530" t="s">
        <v>1086</v>
      </c>
      <c r="W5" s="530" t="s">
        <v>1086</v>
      </c>
      <c r="X5" s="530" t="s">
        <v>220</v>
      </c>
      <c r="Y5" s="530" t="s">
        <v>313</v>
      </c>
      <c r="Z5" s="530" t="s">
        <v>58</v>
      </c>
      <c r="AA5" s="530" t="s">
        <v>225</v>
      </c>
      <c r="AB5" s="530" t="s">
        <v>1087</v>
      </c>
    </row>
    <row r="6" spans="1:28" s="24" customFormat="1" ht="12" customHeight="1">
      <c r="A6">
        <f>COUNTA(B8:B14998)</f>
        <v>624</v>
      </c>
      <c r="B6">
        <f>A6+7</f>
        <v>631</v>
      </c>
      <c r="C6" s="531" t="s">
        <v>1088</v>
      </c>
      <c r="D6" s="531" t="s">
        <v>1089</v>
      </c>
      <c r="E6" s="542" t="s">
        <v>1090</v>
      </c>
      <c r="F6" s="543" t="s">
        <v>315</v>
      </c>
      <c r="G6" s="531" t="s">
        <v>1091</v>
      </c>
      <c r="H6" s="531" t="s">
        <v>573</v>
      </c>
      <c r="I6" s="531" t="s">
        <v>1092</v>
      </c>
      <c r="J6" s="531" t="s">
        <v>1093</v>
      </c>
      <c r="K6" s="531" t="s">
        <v>228</v>
      </c>
      <c r="L6" s="531" t="s">
        <v>1094</v>
      </c>
      <c r="M6" s="531" t="s">
        <v>1095</v>
      </c>
      <c r="N6" s="531" t="s">
        <v>1096</v>
      </c>
      <c r="O6" s="531" t="s">
        <v>1100</v>
      </c>
      <c r="P6" s="531" t="s">
        <v>1098</v>
      </c>
      <c r="Q6" s="531" t="s">
        <v>1085</v>
      </c>
      <c r="R6" s="531" t="s">
        <v>1070</v>
      </c>
      <c r="S6" s="531" t="s">
        <v>1085</v>
      </c>
      <c r="T6" s="531" t="s">
        <v>1099</v>
      </c>
      <c r="U6" s="531" t="s">
        <v>1086</v>
      </c>
      <c r="V6" s="531" t="s">
        <v>1070</v>
      </c>
      <c r="W6" s="531" t="s">
        <v>1100</v>
      </c>
      <c r="X6" s="531" t="s">
        <v>230</v>
      </c>
      <c r="Y6" s="531" t="s">
        <v>1100</v>
      </c>
      <c r="Z6" s="531" t="s">
        <v>232</v>
      </c>
      <c r="AA6" s="531" t="s">
        <v>235</v>
      </c>
      <c r="AB6" s="531" t="s">
        <v>1101</v>
      </c>
    </row>
    <row r="7" spans="1:28" s="24" customFormat="1" ht="15" customHeight="1">
      <c r="A7" s="25" t="s">
        <v>1114</v>
      </c>
      <c r="B7" s="25" t="s">
        <v>38</v>
      </c>
      <c r="C7" s="26"/>
      <c r="D7" s="26"/>
      <c r="E7" s="26"/>
      <c r="F7" s="26"/>
      <c r="G7" s="26"/>
      <c r="H7" s="26"/>
      <c r="I7" s="26"/>
      <c r="J7" s="26"/>
      <c r="K7" s="26"/>
      <c r="L7" s="26"/>
      <c r="M7" s="26"/>
      <c r="N7" s="26"/>
      <c r="O7" s="26"/>
      <c r="P7" s="26"/>
      <c r="Q7" s="26"/>
      <c r="R7" s="26"/>
      <c r="S7" s="26"/>
      <c r="T7" s="26"/>
    </row>
    <row r="8" spans="1:28" ht="15" customHeight="1">
      <c r="A8" s="352" t="s">
        <v>1108</v>
      </c>
      <c r="B8" s="31">
        <v>3401</v>
      </c>
      <c r="C8" s="3">
        <v>121000</v>
      </c>
      <c r="D8" s="3">
        <v>142900</v>
      </c>
      <c r="H8" s="3">
        <v>263900</v>
      </c>
      <c r="AB8" s="3">
        <v>263900</v>
      </c>
    </row>
    <row r="9" spans="1:28" ht="12" customHeight="1">
      <c r="A9" s="352" t="s">
        <v>1108</v>
      </c>
      <c r="B9" s="31">
        <v>3402</v>
      </c>
      <c r="D9" s="3">
        <v>57351</v>
      </c>
      <c r="H9" s="3">
        <v>57351</v>
      </c>
      <c r="AB9" s="3">
        <v>57351</v>
      </c>
    </row>
    <row r="10" spans="1:28" ht="12" customHeight="1">
      <c r="A10" s="352" t="s">
        <v>1108</v>
      </c>
      <c r="B10" s="31">
        <v>3403</v>
      </c>
      <c r="H10" s="3">
        <v>0</v>
      </c>
      <c r="AB10" s="3">
        <v>0</v>
      </c>
    </row>
    <row r="11" spans="1:28" ht="12" customHeight="1">
      <c r="A11" s="352" t="s">
        <v>1108</v>
      </c>
      <c r="B11" s="31">
        <v>3404</v>
      </c>
      <c r="D11" s="3">
        <v>29483</v>
      </c>
      <c r="H11" s="3">
        <v>29483</v>
      </c>
      <c r="AB11" s="3">
        <v>29483</v>
      </c>
    </row>
    <row r="12" spans="1:28" ht="12" customHeight="1">
      <c r="A12" s="352" t="s">
        <v>1108</v>
      </c>
      <c r="B12" s="31">
        <v>3405</v>
      </c>
      <c r="C12" s="3">
        <v>32287</v>
      </c>
      <c r="D12" s="3">
        <v>25612.17</v>
      </c>
      <c r="H12" s="3">
        <v>57899</v>
      </c>
      <c r="AB12" s="3">
        <v>57899</v>
      </c>
    </row>
    <row r="13" spans="1:28" ht="12" customHeight="1">
      <c r="A13" s="352" t="s">
        <v>1108</v>
      </c>
      <c r="B13" s="31">
        <v>3406</v>
      </c>
      <c r="H13" s="3">
        <v>0</v>
      </c>
      <c r="AB13" s="3">
        <v>0</v>
      </c>
    </row>
    <row r="14" spans="1:28" ht="12" customHeight="1">
      <c r="A14" s="352" t="s">
        <v>1108</v>
      </c>
      <c r="B14" s="31">
        <v>3411</v>
      </c>
      <c r="H14" s="3">
        <v>0</v>
      </c>
      <c r="AB14" s="3">
        <v>0</v>
      </c>
    </row>
    <row r="15" spans="1:28" ht="12" customHeight="1">
      <c r="A15" s="352" t="s">
        <v>1108</v>
      </c>
      <c r="B15" s="31">
        <v>3412</v>
      </c>
      <c r="H15" s="3">
        <v>0</v>
      </c>
      <c r="AB15" s="3">
        <v>0</v>
      </c>
    </row>
    <row r="16" spans="1:28" ht="12" customHeight="1">
      <c r="A16" s="352" t="s">
        <v>1108</v>
      </c>
      <c r="B16" s="31">
        <v>3413</v>
      </c>
      <c r="H16" s="3">
        <v>0</v>
      </c>
      <c r="AB16" s="3">
        <v>0</v>
      </c>
    </row>
    <row r="17" spans="1:28" ht="12" customHeight="1">
      <c r="A17" s="352" t="s">
        <v>1108</v>
      </c>
      <c r="B17" s="31">
        <v>3414</v>
      </c>
      <c r="H17" s="3">
        <v>0</v>
      </c>
      <c r="AB17" s="3">
        <v>0</v>
      </c>
    </row>
    <row r="18" spans="1:28" ht="12" customHeight="1">
      <c r="A18" s="352" t="s">
        <v>1108</v>
      </c>
      <c r="B18" s="31">
        <v>3415</v>
      </c>
      <c r="H18" s="3">
        <v>0</v>
      </c>
      <c r="AB18" s="3">
        <v>0</v>
      </c>
    </row>
    <row r="19" spans="1:28" ht="12" customHeight="1">
      <c r="A19" s="352" t="s">
        <v>1108</v>
      </c>
      <c r="B19" s="31">
        <v>3416</v>
      </c>
      <c r="H19" s="3">
        <v>0</v>
      </c>
      <c r="AB19" s="3">
        <v>0</v>
      </c>
    </row>
    <row r="20" spans="1:28" ht="12" customHeight="1">
      <c r="A20" s="352" t="s">
        <v>1108</v>
      </c>
      <c r="B20" s="31">
        <v>3421</v>
      </c>
      <c r="H20" s="3">
        <v>0</v>
      </c>
      <c r="AB20" s="3">
        <v>0</v>
      </c>
    </row>
    <row r="21" spans="1:28" ht="12" customHeight="1">
      <c r="A21" s="352" t="s">
        <v>1108</v>
      </c>
      <c r="B21" s="31">
        <v>3422</v>
      </c>
      <c r="H21" s="3">
        <v>0</v>
      </c>
      <c r="AB21" s="3">
        <v>0</v>
      </c>
    </row>
    <row r="22" spans="1:28" ht="12" customHeight="1">
      <c r="A22" s="352" t="s">
        <v>1108</v>
      </c>
      <c r="B22" s="31">
        <v>3423</v>
      </c>
      <c r="H22" s="3">
        <v>0</v>
      </c>
      <c r="AB22" s="3">
        <v>0</v>
      </c>
    </row>
    <row r="23" spans="1:28" ht="12" customHeight="1">
      <c r="A23" s="352" t="s">
        <v>1108</v>
      </c>
      <c r="B23" s="31">
        <v>3424</v>
      </c>
      <c r="H23" s="3">
        <v>0</v>
      </c>
      <c r="AB23" s="3">
        <v>0</v>
      </c>
    </row>
    <row r="24" spans="1:28" ht="12" customHeight="1">
      <c r="A24" s="352" t="s">
        <v>1108</v>
      </c>
      <c r="B24" s="31">
        <v>3425</v>
      </c>
      <c r="H24" s="3">
        <v>0</v>
      </c>
      <c r="AB24" s="3">
        <v>0</v>
      </c>
    </row>
    <row r="25" spans="1:28" ht="12" customHeight="1">
      <c r="A25" s="352" t="s">
        <v>1108</v>
      </c>
      <c r="B25" s="31">
        <v>3426</v>
      </c>
      <c r="H25" s="3">
        <v>0</v>
      </c>
      <c r="AB25" s="3">
        <v>0</v>
      </c>
    </row>
    <row r="26" spans="1:28" ht="12" customHeight="1">
      <c r="A26" s="352" t="s">
        <v>1108</v>
      </c>
      <c r="B26" s="31">
        <v>3428</v>
      </c>
      <c r="G26" s="3">
        <v>20621</v>
      </c>
      <c r="H26" s="3">
        <v>20621</v>
      </c>
      <c r="AB26" s="3">
        <v>886431</v>
      </c>
    </row>
    <row r="27" spans="1:28" ht="12" customHeight="1">
      <c r="A27" s="352" t="s">
        <v>1108</v>
      </c>
      <c r="B27" s="31">
        <v>3429</v>
      </c>
      <c r="G27" s="3">
        <v>4855.4800000000105</v>
      </c>
      <c r="H27" s="3">
        <v>4855.4800000000105</v>
      </c>
      <c r="AB27" s="3">
        <v>258111</v>
      </c>
    </row>
    <row r="28" spans="1:28" ht="12" customHeight="1">
      <c r="A28" s="352" t="s">
        <v>1108</v>
      </c>
      <c r="B28" s="31">
        <v>3430</v>
      </c>
      <c r="H28" s="3">
        <v>0</v>
      </c>
      <c r="AB28" s="3">
        <v>0</v>
      </c>
    </row>
    <row r="29" spans="1:28" ht="12" customHeight="1">
      <c r="A29" s="352" t="s">
        <v>1108</v>
      </c>
      <c r="B29" s="31">
        <v>3431</v>
      </c>
      <c r="H29" s="3">
        <v>0</v>
      </c>
      <c r="AB29" s="3">
        <v>0</v>
      </c>
    </row>
    <row r="30" spans="1:28" ht="12" customHeight="1">
      <c r="A30" s="352" t="s">
        <v>1108</v>
      </c>
      <c r="B30" s="31">
        <v>3432</v>
      </c>
      <c r="G30" s="3">
        <v>1111</v>
      </c>
      <c r="H30" s="3">
        <v>1111</v>
      </c>
      <c r="AB30" s="3">
        <v>12918</v>
      </c>
    </row>
    <row r="31" spans="1:28" ht="12" customHeight="1">
      <c r="A31" s="352" t="s">
        <v>1108</v>
      </c>
      <c r="B31" s="31">
        <v>3433</v>
      </c>
      <c r="G31" s="3">
        <v>8250.65</v>
      </c>
      <c r="H31" s="3">
        <v>8251</v>
      </c>
      <c r="AB31" s="3">
        <v>8251</v>
      </c>
    </row>
    <row r="32" spans="1:28" ht="12" customHeight="1">
      <c r="A32" s="352" t="s">
        <v>1108</v>
      </c>
      <c r="B32" s="31">
        <v>3444</v>
      </c>
      <c r="H32" s="3">
        <v>0</v>
      </c>
      <c r="AB32" s="3">
        <v>0</v>
      </c>
    </row>
    <row r="33" spans="1:28" ht="12" customHeight="1">
      <c r="A33" s="352" t="s">
        <v>1108</v>
      </c>
      <c r="B33" s="31">
        <v>3445</v>
      </c>
      <c r="H33" s="3">
        <v>0</v>
      </c>
      <c r="AB33" s="3">
        <v>0</v>
      </c>
    </row>
    <row r="34" spans="1:28" ht="12" customHeight="1">
      <c r="A34" s="352" t="s">
        <v>1108</v>
      </c>
      <c r="B34" s="31">
        <v>3446</v>
      </c>
      <c r="H34" s="3">
        <v>0</v>
      </c>
      <c r="AB34" s="3">
        <v>0</v>
      </c>
    </row>
    <row r="35" spans="1:28" ht="12" customHeight="1">
      <c r="A35" s="352" t="s">
        <v>1108</v>
      </c>
      <c r="B35" s="31">
        <v>3450</v>
      </c>
      <c r="C35" s="3">
        <v>46416.360000000335</v>
      </c>
      <c r="D35" s="3">
        <v>273629.10000000009</v>
      </c>
      <c r="H35" s="3">
        <v>320045.46000000043</v>
      </c>
      <c r="AB35" s="3">
        <v>9775452</v>
      </c>
    </row>
    <row r="36" spans="1:28" ht="12" customHeight="1">
      <c r="A36" s="352" t="s">
        <v>1108</v>
      </c>
      <c r="B36" s="31">
        <v>3452</v>
      </c>
      <c r="D36" s="3">
        <v>370253.54000000004</v>
      </c>
      <c r="H36" s="3">
        <v>370253.54000000004</v>
      </c>
      <c r="AB36" s="3">
        <v>608201</v>
      </c>
    </row>
    <row r="37" spans="1:28" ht="12" customHeight="1">
      <c r="A37" s="352" t="s">
        <v>1108</v>
      </c>
      <c r="B37" s="31">
        <v>3453</v>
      </c>
      <c r="H37" s="3">
        <v>0</v>
      </c>
      <c r="AB37" s="3">
        <v>0</v>
      </c>
    </row>
    <row r="38" spans="1:28" ht="12" customHeight="1">
      <c r="A38" s="352" t="s">
        <v>1108</v>
      </c>
      <c r="B38" s="31">
        <v>3454</v>
      </c>
      <c r="H38" s="3">
        <v>0</v>
      </c>
      <c r="AB38" s="3">
        <v>0</v>
      </c>
    </row>
    <row r="39" spans="1:28" ht="12" customHeight="1">
      <c r="A39" s="352" t="s">
        <v>1108</v>
      </c>
      <c r="B39" s="31">
        <v>3455</v>
      </c>
      <c r="H39" s="3">
        <v>0</v>
      </c>
      <c r="AB39" s="3">
        <v>0</v>
      </c>
    </row>
    <row r="40" spans="1:28" ht="15">
      <c r="A40" s="352" t="s">
        <v>1108</v>
      </c>
      <c r="B40" s="31">
        <v>3456</v>
      </c>
      <c r="H40" s="3">
        <v>0</v>
      </c>
      <c r="AB40" s="3">
        <v>0</v>
      </c>
    </row>
    <row r="41" spans="1:28" ht="12" customHeight="1">
      <c r="A41" s="31" t="s">
        <v>1108</v>
      </c>
      <c r="B41" s="31" t="s">
        <v>1103</v>
      </c>
      <c r="H41" s="3">
        <v>0</v>
      </c>
      <c r="AB41" s="3">
        <v>0</v>
      </c>
    </row>
    <row r="42" spans="1:28" ht="12" customHeight="1">
      <c r="A42" s="352" t="s">
        <v>1108</v>
      </c>
      <c r="B42" s="31">
        <v>3462</v>
      </c>
      <c r="H42" s="3">
        <v>0</v>
      </c>
      <c r="AB42" s="3">
        <v>0</v>
      </c>
    </row>
    <row r="43" spans="1:28" ht="12" customHeight="1">
      <c r="A43" s="352" t="s">
        <v>1108</v>
      </c>
      <c r="B43" s="31">
        <v>3463</v>
      </c>
      <c r="H43" s="3">
        <v>0</v>
      </c>
      <c r="AB43" s="3">
        <v>0</v>
      </c>
    </row>
    <row r="44" spans="1:28" ht="12" customHeight="1">
      <c r="A44" s="352" t="s">
        <v>1108</v>
      </c>
      <c r="B44" s="31">
        <v>3464</v>
      </c>
      <c r="H44" s="3">
        <v>0</v>
      </c>
      <c r="AB44" s="3">
        <v>0</v>
      </c>
    </row>
    <row r="45" spans="1:28" ht="12" customHeight="1">
      <c r="A45" s="352" t="s">
        <v>1108</v>
      </c>
      <c r="B45" s="147">
        <v>3467</v>
      </c>
      <c r="H45" s="3">
        <v>0</v>
      </c>
      <c r="AB45" s="3">
        <v>0</v>
      </c>
    </row>
    <row r="46" spans="1:28" ht="12" customHeight="1">
      <c r="A46" s="352" t="s">
        <v>1108</v>
      </c>
      <c r="B46" s="31">
        <v>3468</v>
      </c>
      <c r="C46" s="3">
        <v>119774.99</v>
      </c>
      <c r="D46" s="3">
        <v>60145.08</v>
      </c>
      <c r="H46" s="3">
        <v>179920</v>
      </c>
      <c r="AB46" s="3">
        <v>179920</v>
      </c>
    </row>
    <row r="47" spans="1:28" ht="12" customHeight="1">
      <c r="A47" s="352" t="s">
        <v>1108</v>
      </c>
      <c r="B47" s="31">
        <v>3473</v>
      </c>
      <c r="C47" s="3">
        <v>20633.11</v>
      </c>
      <c r="D47" s="3">
        <v>13838</v>
      </c>
      <c r="H47" s="3">
        <v>34471.11</v>
      </c>
      <c r="AB47" s="3">
        <v>1134907</v>
      </c>
    </row>
    <row r="48" spans="1:28" ht="12" customHeight="1">
      <c r="A48" s="352" t="s">
        <v>1108</v>
      </c>
      <c r="B48" s="31">
        <v>3474</v>
      </c>
      <c r="H48" s="3">
        <v>0</v>
      </c>
      <c r="AB48" s="3">
        <v>0</v>
      </c>
    </row>
    <row r="49" spans="1:28" ht="12" customHeight="1">
      <c r="A49" s="352" t="s">
        <v>1108</v>
      </c>
      <c r="B49" s="31">
        <v>3476</v>
      </c>
      <c r="G49" s="3">
        <v>191490</v>
      </c>
      <c r="H49" s="3">
        <v>191490</v>
      </c>
      <c r="AB49" s="3">
        <v>191490</v>
      </c>
    </row>
    <row r="50" spans="1:28" ht="12" customHeight="1">
      <c r="A50" s="352" t="s">
        <v>1108</v>
      </c>
      <c r="B50" s="31">
        <v>3477</v>
      </c>
      <c r="H50" s="3">
        <v>0</v>
      </c>
      <c r="AB50" s="3">
        <v>0</v>
      </c>
    </row>
    <row r="51" spans="1:28" ht="12" customHeight="1">
      <c r="A51" s="352" t="s">
        <v>1108</v>
      </c>
      <c r="B51" s="31">
        <v>3478</v>
      </c>
      <c r="H51" s="3">
        <v>0</v>
      </c>
      <c r="AB51" s="3">
        <v>0</v>
      </c>
    </row>
    <row r="52" spans="1:28" ht="12" customHeight="1">
      <c r="A52" s="352" t="s">
        <v>1108</v>
      </c>
      <c r="B52" s="31">
        <v>3481</v>
      </c>
      <c r="H52" s="3">
        <v>0</v>
      </c>
      <c r="AB52" s="3">
        <v>0</v>
      </c>
    </row>
    <row r="53" spans="1:28" ht="12" customHeight="1">
      <c r="A53" s="352" t="s">
        <v>1108</v>
      </c>
      <c r="B53" s="31">
        <v>3482</v>
      </c>
      <c r="H53" s="3">
        <v>0</v>
      </c>
      <c r="AB53" s="3">
        <v>0</v>
      </c>
    </row>
    <row r="54" spans="1:28" ht="12" customHeight="1">
      <c r="A54" s="352" t="s">
        <v>1108</v>
      </c>
      <c r="B54" s="31">
        <v>3485</v>
      </c>
      <c r="H54" s="3">
        <v>0</v>
      </c>
      <c r="AB54" s="3">
        <v>0</v>
      </c>
    </row>
    <row r="55" spans="1:28" ht="12" customHeight="1">
      <c r="A55" s="352" t="s">
        <v>1108</v>
      </c>
      <c r="B55" s="31">
        <v>3487</v>
      </c>
      <c r="H55" s="3">
        <v>0</v>
      </c>
      <c r="AB55" s="3">
        <v>0</v>
      </c>
    </row>
    <row r="56" spans="1:28" ht="12" customHeight="1">
      <c r="A56" s="352" t="s">
        <v>1108</v>
      </c>
      <c r="B56" s="31">
        <v>3488</v>
      </c>
      <c r="H56" s="3">
        <v>0</v>
      </c>
      <c r="AB56" s="3">
        <v>0</v>
      </c>
    </row>
    <row r="57" spans="1:28" ht="12" customHeight="1">
      <c r="A57" s="352" t="s">
        <v>1108</v>
      </c>
      <c r="B57" s="31">
        <v>3489</v>
      </c>
      <c r="H57" s="3">
        <v>0</v>
      </c>
      <c r="AB57" s="3">
        <v>0</v>
      </c>
    </row>
    <row r="58" spans="1:28" ht="12" customHeight="1">
      <c r="A58" s="352" t="s">
        <v>1108</v>
      </c>
      <c r="B58" s="31">
        <v>3490</v>
      </c>
      <c r="H58" s="3">
        <v>0</v>
      </c>
      <c r="AB58" s="3">
        <v>0</v>
      </c>
    </row>
    <row r="59" spans="1:28" ht="12" customHeight="1">
      <c r="A59" s="352" t="s">
        <v>1108</v>
      </c>
      <c r="B59" s="31">
        <v>3491</v>
      </c>
      <c r="H59" s="3">
        <v>0</v>
      </c>
      <c r="AB59" s="3">
        <v>0</v>
      </c>
    </row>
    <row r="60" spans="1:28" ht="12" customHeight="1">
      <c r="A60" s="352" t="s">
        <v>1108</v>
      </c>
      <c r="B60" s="31">
        <v>3492</v>
      </c>
      <c r="H60" s="3">
        <v>0</v>
      </c>
      <c r="AB60" s="3">
        <v>0</v>
      </c>
    </row>
    <row r="61" spans="1:28" ht="12" customHeight="1">
      <c r="A61" s="352" t="s">
        <v>1108</v>
      </c>
      <c r="B61" s="31">
        <v>3494</v>
      </c>
      <c r="H61" s="3">
        <v>0</v>
      </c>
      <c r="AB61" s="3">
        <v>0</v>
      </c>
    </row>
    <row r="62" spans="1:28" ht="12" customHeight="1">
      <c r="A62" s="352" t="s">
        <v>1108</v>
      </c>
      <c r="B62" s="31">
        <v>3495</v>
      </c>
      <c r="H62" s="3">
        <v>0</v>
      </c>
      <c r="AB62" s="3">
        <v>0</v>
      </c>
    </row>
    <row r="63" spans="1:28" ht="12" customHeight="1">
      <c r="A63" s="352" t="s">
        <v>1108</v>
      </c>
      <c r="B63" s="31">
        <v>3496</v>
      </c>
      <c r="H63" s="3">
        <v>0</v>
      </c>
      <c r="AB63" s="3">
        <v>0</v>
      </c>
    </row>
    <row r="64" spans="1:28" ht="12" customHeight="1">
      <c r="A64" s="352" t="s">
        <v>1108</v>
      </c>
      <c r="B64" s="31">
        <v>3497</v>
      </c>
      <c r="H64" s="3">
        <v>0</v>
      </c>
      <c r="AB64" s="3">
        <v>0</v>
      </c>
    </row>
    <row r="65" spans="1:28" ht="12" customHeight="1">
      <c r="A65" s="352" t="s">
        <v>1108</v>
      </c>
      <c r="B65" s="31">
        <v>3499</v>
      </c>
      <c r="H65" s="3">
        <v>0</v>
      </c>
      <c r="AB65" s="3">
        <v>0</v>
      </c>
    </row>
    <row r="66" spans="1:28" ht="12" customHeight="1">
      <c r="A66" s="352" t="s">
        <v>1108</v>
      </c>
      <c r="B66" s="31">
        <v>3501</v>
      </c>
      <c r="H66" s="3">
        <v>0</v>
      </c>
      <c r="AB66" s="3">
        <v>0</v>
      </c>
    </row>
    <row r="67" spans="1:28" ht="12" customHeight="1">
      <c r="A67" s="352" t="s">
        <v>1108</v>
      </c>
      <c r="B67" s="31">
        <v>3502</v>
      </c>
      <c r="H67" s="3">
        <v>0</v>
      </c>
      <c r="AB67" s="3">
        <v>0</v>
      </c>
    </row>
    <row r="68" spans="1:28" ht="12" customHeight="1">
      <c r="A68" s="352" t="s">
        <v>1108</v>
      </c>
      <c r="B68" s="31">
        <v>3503</v>
      </c>
      <c r="H68" s="3">
        <v>0</v>
      </c>
      <c r="AB68" s="3">
        <v>0</v>
      </c>
    </row>
    <row r="69" spans="1:28" ht="12" customHeight="1">
      <c r="A69" s="352" t="s">
        <v>1108</v>
      </c>
      <c r="B69" s="31">
        <v>3504</v>
      </c>
      <c r="H69" s="3">
        <v>0</v>
      </c>
      <c r="AB69" s="3">
        <v>0</v>
      </c>
    </row>
    <row r="70" spans="1:28" ht="12" customHeight="1">
      <c r="A70" s="352" t="s">
        <v>1108</v>
      </c>
      <c r="B70" s="31">
        <v>3506</v>
      </c>
      <c r="C70" s="3">
        <v>21495</v>
      </c>
      <c r="D70" s="3">
        <v>5000</v>
      </c>
      <c r="H70" s="3">
        <v>26495</v>
      </c>
      <c r="AB70" s="3">
        <v>26495</v>
      </c>
    </row>
    <row r="71" spans="1:28" ht="12" customHeight="1">
      <c r="A71" s="352" t="s">
        <v>1108</v>
      </c>
      <c r="B71" s="31">
        <v>3507</v>
      </c>
      <c r="H71" s="3">
        <v>0</v>
      </c>
      <c r="AB71" s="3">
        <v>0</v>
      </c>
    </row>
    <row r="72" spans="1:28" ht="12" customHeight="1">
      <c r="A72" s="352" t="s">
        <v>1108</v>
      </c>
      <c r="B72" s="31">
        <v>3508</v>
      </c>
      <c r="H72" s="3">
        <v>0</v>
      </c>
      <c r="AB72" s="3">
        <v>0</v>
      </c>
    </row>
    <row r="73" spans="1:28" ht="12" customHeight="1">
      <c r="A73" s="352" t="s">
        <v>1108</v>
      </c>
      <c r="B73" s="31">
        <v>3511</v>
      </c>
      <c r="C73" s="3">
        <v>4281</v>
      </c>
      <c r="H73" s="3">
        <v>4281</v>
      </c>
      <c r="AB73" s="3">
        <v>4281</v>
      </c>
    </row>
    <row r="74" spans="1:28" ht="12" customHeight="1">
      <c r="A74" s="352" t="s">
        <v>1108</v>
      </c>
      <c r="B74" s="31">
        <v>3514</v>
      </c>
      <c r="H74" s="3">
        <v>0</v>
      </c>
      <c r="AB74" s="3">
        <v>0</v>
      </c>
    </row>
    <row r="75" spans="1:28" ht="12" customHeight="1">
      <c r="A75" s="352" t="s">
        <v>1108</v>
      </c>
      <c r="B75" s="31">
        <v>3515</v>
      </c>
      <c r="C75" s="3">
        <v>11874.119999999995</v>
      </c>
      <c r="D75" s="3">
        <v>1562</v>
      </c>
      <c r="H75" s="3">
        <v>13436.119999999995</v>
      </c>
      <c r="AB75" s="3">
        <v>77123</v>
      </c>
    </row>
    <row r="76" spans="1:28" ht="12" customHeight="1">
      <c r="A76" s="352" t="s">
        <v>1108</v>
      </c>
      <c r="B76" s="31">
        <v>3516</v>
      </c>
      <c r="H76" s="3">
        <v>0</v>
      </c>
      <c r="AB76" s="3">
        <v>0</v>
      </c>
    </row>
    <row r="77" spans="1:28" ht="12" customHeight="1">
      <c r="A77" s="352" t="s">
        <v>1108</v>
      </c>
      <c r="B77" s="31">
        <v>3524</v>
      </c>
      <c r="H77" s="3">
        <v>0</v>
      </c>
      <c r="AB77" s="3">
        <v>0</v>
      </c>
    </row>
    <row r="78" spans="1:28" ht="12" customHeight="1">
      <c r="A78" s="352" t="s">
        <v>1108</v>
      </c>
      <c r="B78" s="31">
        <v>3525</v>
      </c>
      <c r="C78" s="3">
        <v>12711.61</v>
      </c>
      <c r="H78" s="3">
        <v>12711.61</v>
      </c>
      <c r="AB78" s="3">
        <v>54470</v>
      </c>
    </row>
    <row r="79" spans="1:28" ht="12" customHeight="1">
      <c r="A79" s="352" t="s">
        <v>1108</v>
      </c>
      <c r="B79" s="31">
        <v>3526</v>
      </c>
      <c r="H79" s="3">
        <v>0</v>
      </c>
      <c r="AB79" s="3">
        <v>0</v>
      </c>
    </row>
    <row r="80" spans="1:28" ht="12" customHeight="1">
      <c r="A80" s="352" t="s">
        <v>1108</v>
      </c>
      <c r="B80" s="31">
        <v>3535</v>
      </c>
      <c r="C80" s="3">
        <v>10940.410000000003</v>
      </c>
      <c r="H80" s="3">
        <v>10940.410000000003</v>
      </c>
      <c r="AB80" s="3">
        <v>49062</v>
      </c>
    </row>
    <row r="81" spans="1:28" ht="12" customHeight="1">
      <c r="A81" s="352" t="s">
        <v>1108</v>
      </c>
      <c r="B81" s="31">
        <v>3540</v>
      </c>
      <c r="H81" s="3">
        <v>0</v>
      </c>
      <c r="AB81" s="3">
        <v>0</v>
      </c>
    </row>
    <row r="82" spans="1:28" ht="12" customHeight="1">
      <c r="A82" s="352" t="s">
        <v>1108</v>
      </c>
      <c r="B82" s="31">
        <v>3541</v>
      </c>
      <c r="C82" s="3">
        <v>4205</v>
      </c>
      <c r="H82" s="3">
        <v>4205</v>
      </c>
      <c r="AB82" s="3">
        <v>4205</v>
      </c>
    </row>
    <row r="83" spans="1:28" ht="12" customHeight="1">
      <c r="A83" s="352" t="s">
        <v>1108</v>
      </c>
      <c r="B83" s="31">
        <v>3542</v>
      </c>
      <c r="H83" s="3">
        <v>0</v>
      </c>
      <c r="AB83" s="3">
        <v>0</v>
      </c>
    </row>
    <row r="84" spans="1:28" ht="12" customHeight="1">
      <c r="A84" s="352" t="s">
        <v>1108</v>
      </c>
      <c r="B84" s="31">
        <v>3543</v>
      </c>
      <c r="C84" s="3">
        <v>800</v>
      </c>
      <c r="H84" s="3">
        <v>800</v>
      </c>
      <c r="AB84" s="3">
        <v>800</v>
      </c>
    </row>
    <row r="85" spans="1:28" ht="12" customHeight="1">
      <c r="A85" s="352" t="s">
        <v>1108</v>
      </c>
      <c r="B85" s="31">
        <v>3545</v>
      </c>
      <c r="C85" s="3">
        <v>18641.68</v>
      </c>
      <c r="H85" s="3">
        <v>18642</v>
      </c>
      <c r="AB85" s="3">
        <v>18642</v>
      </c>
    </row>
    <row r="86" spans="1:28" ht="12" customHeight="1">
      <c r="A86" s="352" t="s">
        <v>1108</v>
      </c>
      <c r="B86" s="31">
        <v>3546</v>
      </c>
      <c r="C86" s="3">
        <v>10363.799999999999</v>
      </c>
      <c r="H86" s="3">
        <v>10364</v>
      </c>
      <c r="AB86" s="3">
        <v>10364</v>
      </c>
    </row>
    <row r="87" spans="1:28" ht="12" customHeight="1">
      <c r="A87" s="352" t="s">
        <v>1108</v>
      </c>
      <c r="B87" s="31">
        <v>3547</v>
      </c>
      <c r="H87" s="3">
        <v>0</v>
      </c>
      <c r="AB87" s="3">
        <v>0</v>
      </c>
    </row>
    <row r="88" spans="1:28" ht="12" customHeight="1">
      <c r="A88" s="352" t="s">
        <v>1108</v>
      </c>
      <c r="B88" s="31">
        <v>3549</v>
      </c>
      <c r="H88" s="3">
        <v>0</v>
      </c>
      <c r="AB88" s="3">
        <v>0</v>
      </c>
    </row>
    <row r="89" spans="1:28" ht="12" customHeight="1">
      <c r="A89" s="352" t="s">
        <v>1108</v>
      </c>
      <c r="B89" s="31">
        <v>3550</v>
      </c>
      <c r="H89" s="3">
        <v>0</v>
      </c>
      <c r="AB89" s="3">
        <v>0</v>
      </c>
    </row>
    <row r="90" spans="1:28" ht="12" customHeight="1">
      <c r="A90" s="352" t="s">
        <v>1108</v>
      </c>
      <c r="B90" s="31">
        <v>3551</v>
      </c>
      <c r="H90" s="3">
        <v>0</v>
      </c>
      <c r="AB90" s="3">
        <v>0</v>
      </c>
    </row>
    <row r="91" spans="1:28" ht="12" customHeight="1">
      <c r="A91" s="352" t="s">
        <v>1108</v>
      </c>
      <c r="B91" s="31">
        <v>3553</v>
      </c>
      <c r="H91" s="3">
        <v>0</v>
      </c>
      <c r="AB91" s="3">
        <v>0</v>
      </c>
    </row>
    <row r="92" spans="1:28" ht="12" customHeight="1">
      <c r="A92" s="352" t="s">
        <v>1108</v>
      </c>
      <c r="B92" s="31">
        <v>3554</v>
      </c>
      <c r="H92" s="3">
        <v>0</v>
      </c>
      <c r="AB92" s="3">
        <v>0</v>
      </c>
    </row>
    <row r="93" spans="1:28" ht="12" customHeight="1">
      <c r="A93" s="352" t="s">
        <v>1108</v>
      </c>
      <c r="B93" s="31">
        <v>3555</v>
      </c>
      <c r="H93" s="3">
        <v>0</v>
      </c>
      <c r="AB93" s="3">
        <v>0</v>
      </c>
    </row>
    <row r="94" spans="1:28" ht="12" customHeight="1">
      <c r="A94" s="352" t="s">
        <v>1108</v>
      </c>
      <c r="B94" s="31">
        <v>3561</v>
      </c>
      <c r="C94" s="3">
        <v>1503</v>
      </c>
      <c r="H94" s="3">
        <v>1503</v>
      </c>
      <c r="AB94" s="3">
        <v>324799</v>
      </c>
    </row>
    <row r="95" spans="1:28" ht="12" customHeight="1">
      <c r="A95" s="352" t="s">
        <v>1108</v>
      </c>
      <c r="B95" s="31">
        <v>3562</v>
      </c>
      <c r="C95" s="3">
        <v>440.72000000000116</v>
      </c>
      <c r="H95" s="3">
        <v>440.72000000000116</v>
      </c>
      <c r="AB95" s="3">
        <v>38865</v>
      </c>
    </row>
    <row r="96" spans="1:28" ht="12" customHeight="1">
      <c r="A96" s="352" t="s">
        <v>1108</v>
      </c>
      <c r="B96" s="31">
        <v>3563</v>
      </c>
      <c r="C96" s="3">
        <v>5431.53</v>
      </c>
      <c r="H96" s="3">
        <v>5432</v>
      </c>
      <c r="AB96" s="3">
        <v>5432</v>
      </c>
    </row>
    <row r="97" spans="1:28" ht="12" customHeight="1">
      <c r="A97" s="352" t="s">
        <v>1108</v>
      </c>
      <c r="B97" s="31">
        <v>3564</v>
      </c>
      <c r="C97" s="3">
        <v>13887.26</v>
      </c>
      <c r="H97" s="3">
        <v>13887</v>
      </c>
      <c r="AB97" s="3">
        <v>13887</v>
      </c>
    </row>
    <row r="98" spans="1:28" ht="12" customHeight="1">
      <c r="A98" s="352" t="s">
        <v>1108</v>
      </c>
      <c r="B98" s="31">
        <v>3565</v>
      </c>
      <c r="C98" s="3">
        <v>4435.58</v>
      </c>
      <c r="H98" s="3">
        <v>4436</v>
      </c>
      <c r="AB98" s="3">
        <v>4436</v>
      </c>
    </row>
    <row r="99" spans="1:28" ht="12" customHeight="1">
      <c r="A99" s="352" t="s">
        <v>1108</v>
      </c>
      <c r="B99" s="31">
        <v>3566</v>
      </c>
      <c r="H99" s="3">
        <v>0</v>
      </c>
      <c r="AB99" s="3">
        <v>0</v>
      </c>
    </row>
    <row r="100" spans="1:28" ht="12" customHeight="1">
      <c r="A100" s="352" t="s">
        <v>1108</v>
      </c>
      <c r="B100" s="31">
        <v>3571</v>
      </c>
      <c r="H100" s="3">
        <v>0</v>
      </c>
      <c r="AB100" s="3">
        <v>0</v>
      </c>
    </row>
    <row r="101" spans="1:28" ht="12" customHeight="1">
      <c r="A101" s="352" t="s">
        <v>1108</v>
      </c>
      <c r="B101" s="31">
        <v>3572</v>
      </c>
      <c r="H101" s="3">
        <v>0</v>
      </c>
      <c r="AB101" s="3">
        <v>0</v>
      </c>
    </row>
    <row r="102" spans="1:28" ht="12" customHeight="1">
      <c r="A102" s="352" t="s">
        <v>1108</v>
      </c>
      <c r="B102" s="31">
        <v>3573</v>
      </c>
      <c r="H102" s="3">
        <v>0</v>
      </c>
      <c r="AB102" s="3">
        <v>0</v>
      </c>
    </row>
    <row r="103" spans="1:28" ht="12" customHeight="1">
      <c r="A103" s="352" t="s">
        <v>1108</v>
      </c>
      <c r="B103" s="31">
        <v>3574</v>
      </c>
      <c r="H103" s="3">
        <v>0</v>
      </c>
      <c r="AB103" s="3">
        <v>0</v>
      </c>
    </row>
    <row r="104" spans="1:28" ht="12" customHeight="1">
      <c r="A104" s="352" t="s">
        <v>1108</v>
      </c>
      <c r="B104" s="31">
        <v>3575</v>
      </c>
      <c r="H104" s="3">
        <v>0</v>
      </c>
      <c r="AB104" s="3">
        <v>0</v>
      </c>
    </row>
    <row r="105" spans="1:28" ht="12" customHeight="1">
      <c r="A105" s="352" t="s">
        <v>1108</v>
      </c>
      <c r="B105" s="31">
        <v>3576</v>
      </c>
      <c r="H105" s="3">
        <v>0</v>
      </c>
      <c r="AB105" s="3">
        <v>0</v>
      </c>
    </row>
    <row r="106" spans="1:28" ht="12" customHeight="1">
      <c r="A106" s="352" t="s">
        <v>1108</v>
      </c>
      <c r="B106" s="31">
        <v>3581</v>
      </c>
      <c r="C106" s="3">
        <v>184049</v>
      </c>
      <c r="H106" s="3">
        <v>184049</v>
      </c>
      <c r="AB106" s="3">
        <v>184049</v>
      </c>
    </row>
    <row r="107" spans="1:28" ht="12" customHeight="1">
      <c r="A107" s="352" t="s">
        <v>1108</v>
      </c>
      <c r="B107" s="31">
        <v>3582</v>
      </c>
      <c r="H107" s="3">
        <v>0</v>
      </c>
      <c r="AB107" s="3">
        <v>0</v>
      </c>
    </row>
    <row r="108" spans="1:28" ht="12" customHeight="1">
      <c r="A108" s="352" t="s">
        <v>1108</v>
      </c>
      <c r="B108" s="31">
        <v>3583</v>
      </c>
      <c r="H108" s="3">
        <v>0</v>
      </c>
      <c r="AB108" s="3">
        <v>0</v>
      </c>
    </row>
    <row r="109" spans="1:28" ht="12" customHeight="1">
      <c r="A109" s="352" t="s">
        <v>1108</v>
      </c>
      <c r="B109" s="31">
        <v>3584</v>
      </c>
      <c r="H109" s="3">
        <v>0</v>
      </c>
      <c r="AB109" s="3">
        <v>0</v>
      </c>
    </row>
    <row r="110" spans="1:28" ht="12" customHeight="1">
      <c r="A110" s="352" t="s">
        <v>1108</v>
      </c>
      <c r="B110" s="31">
        <v>3585</v>
      </c>
      <c r="C110" s="3">
        <v>6663</v>
      </c>
      <c r="H110" s="3">
        <v>6663</v>
      </c>
      <c r="AB110" s="3">
        <v>6663</v>
      </c>
    </row>
    <row r="111" spans="1:28" ht="12" customHeight="1" thickBot="1">
      <c r="A111" s="352" t="s">
        <v>1108</v>
      </c>
      <c r="B111" s="31">
        <v>3586</v>
      </c>
      <c r="H111" s="3">
        <v>0</v>
      </c>
      <c r="AB111" s="3">
        <v>0</v>
      </c>
    </row>
    <row r="112" spans="1:28" ht="12" customHeight="1" thickTop="1">
      <c r="A112" s="677" t="s">
        <v>1262</v>
      </c>
      <c r="B112" s="678">
        <v>3401</v>
      </c>
      <c r="C112" s="679"/>
      <c r="D112" s="680"/>
      <c r="E112" s="681"/>
      <c r="F112" s="681"/>
      <c r="H112" s="3">
        <v>0</v>
      </c>
    </row>
    <row r="113" spans="1:8" ht="12" customHeight="1">
      <c r="A113" s="677" t="s">
        <v>1262</v>
      </c>
      <c r="B113" s="678">
        <v>3402</v>
      </c>
      <c r="C113" s="681"/>
      <c r="D113" s="681"/>
      <c r="E113" s="681"/>
      <c r="F113" s="681"/>
      <c r="H113" s="3">
        <v>0</v>
      </c>
    </row>
    <row r="114" spans="1:8" ht="12" customHeight="1">
      <c r="A114" s="677" t="s">
        <v>1262</v>
      </c>
      <c r="B114" s="678">
        <v>3403</v>
      </c>
      <c r="C114" s="681"/>
      <c r="D114" s="681"/>
      <c r="E114" s="681"/>
      <c r="F114" s="681"/>
      <c r="H114" s="3">
        <v>0</v>
      </c>
    </row>
    <row r="115" spans="1:8" ht="12" customHeight="1">
      <c r="A115" s="677" t="s">
        <v>1262</v>
      </c>
      <c r="B115" s="678">
        <v>3404</v>
      </c>
      <c r="C115" s="681"/>
      <c r="D115" s="681"/>
      <c r="E115" s="681"/>
      <c r="F115" s="681"/>
      <c r="H115" s="3">
        <v>0</v>
      </c>
    </row>
    <row r="116" spans="1:8" ht="12" customHeight="1">
      <c r="A116" s="677" t="s">
        <v>1262</v>
      </c>
      <c r="B116" s="678">
        <v>3405</v>
      </c>
      <c r="C116" s="681"/>
      <c r="D116" s="681"/>
      <c r="E116" s="681"/>
      <c r="F116" s="681"/>
      <c r="H116" s="3">
        <v>0</v>
      </c>
    </row>
    <row r="117" spans="1:8" ht="12" customHeight="1">
      <c r="A117" s="677" t="s">
        <v>1262</v>
      </c>
      <c r="B117" s="678">
        <v>3406</v>
      </c>
      <c r="C117" s="681"/>
      <c r="D117" s="681"/>
      <c r="E117" s="681"/>
      <c r="F117" s="681"/>
      <c r="H117" s="3">
        <v>0</v>
      </c>
    </row>
    <row r="118" spans="1:8" ht="12" customHeight="1">
      <c r="A118" s="677" t="s">
        <v>1262</v>
      </c>
      <c r="B118" s="678">
        <v>3411</v>
      </c>
      <c r="C118" s="681"/>
      <c r="D118" s="681"/>
      <c r="E118" s="681"/>
      <c r="F118" s="681"/>
      <c r="H118" s="3">
        <v>0</v>
      </c>
    </row>
    <row r="119" spans="1:8" ht="12" customHeight="1">
      <c r="A119" s="677" t="s">
        <v>1262</v>
      </c>
      <c r="B119" s="678">
        <v>3412</v>
      </c>
      <c r="C119" s="681"/>
      <c r="D119" s="681"/>
      <c r="E119" s="681"/>
      <c r="F119" s="681"/>
      <c r="H119" s="3">
        <v>0</v>
      </c>
    </row>
    <row r="120" spans="1:8" ht="12" customHeight="1">
      <c r="A120" s="677" t="s">
        <v>1262</v>
      </c>
      <c r="B120" s="678">
        <v>3413</v>
      </c>
      <c r="C120" s="681"/>
      <c r="D120" s="681"/>
      <c r="E120" s="681"/>
      <c r="F120" s="681"/>
      <c r="H120" s="3">
        <v>0</v>
      </c>
    </row>
    <row r="121" spans="1:8" ht="12" customHeight="1">
      <c r="A121" s="677" t="s">
        <v>1262</v>
      </c>
      <c r="B121" s="678">
        <v>3414</v>
      </c>
      <c r="C121" s="681"/>
      <c r="D121" s="681"/>
      <c r="E121" s="681"/>
      <c r="F121" s="681"/>
      <c r="H121" s="3">
        <v>0</v>
      </c>
    </row>
    <row r="122" spans="1:8" ht="12" customHeight="1">
      <c r="A122" s="677" t="s">
        <v>1262</v>
      </c>
      <c r="B122" s="678">
        <v>3415</v>
      </c>
      <c r="C122" s="681"/>
      <c r="D122" s="681"/>
      <c r="E122" s="681"/>
      <c r="F122" s="681"/>
      <c r="H122" s="3">
        <v>0</v>
      </c>
    </row>
    <row r="123" spans="1:8" ht="12" customHeight="1">
      <c r="A123" s="677" t="s">
        <v>1262</v>
      </c>
      <c r="B123" s="678">
        <v>3416</v>
      </c>
      <c r="C123" s="681"/>
      <c r="D123" s="681"/>
      <c r="E123" s="681"/>
      <c r="F123" s="681"/>
      <c r="H123" s="3">
        <v>0</v>
      </c>
    </row>
    <row r="124" spans="1:8" ht="12" customHeight="1">
      <c r="A124" s="677" t="s">
        <v>1262</v>
      </c>
      <c r="B124" s="678">
        <v>3421</v>
      </c>
      <c r="C124" s="681"/>
      <c r="D124" s="681"/>
      <c r="E124" s="681"/>
      <c r="F124" s="681"/>
      <c r="H124" s="3">
        <v>0</v>
      </c>
    </row>
    <row r="125" spans="1:8" ht="12" customHeight="1">
      <c r="A125" s="677" t="s">
        <v>1262</v>
      </c>
      <c r="B125" s="678">
        <v>3422</v>
      </c>
      <c r="C125" s="681"/>
      <c r="D125" s="681"/>
      <c r="E125" s="681"/>
      <c r="F125" s="681"/>
      <c r="H125" s="3">
        <v>0</v>
      </c>
    </row>
    <row r="126" spans="1:8" ht="12" customHeight="1">
      <c r="A126" s="677" t="s">
        <v>1262</v>
      </c>
      <c r="B126" s="678">
        <v>3423</v>
      </c>
      <c r="C126" s="681"/>
      <c r="D126" s="681"/>
      <c r="E126" s="681"/>
      <c r="F126" s="681"/>
      <c r="H126" s="3">
        <v>0</v>
      </c>
    </row>
    <row r="127" spans="1:8" ht="12" customHeight="1">
      <c r="A127" s="677" t="s">
        <v>1262</v>
      </c>
      <c r="B127" s="678">
        <v>3424</v>
      </c>
      <c r="C127" s="681"/>
      <c r="D127" s="681"/>
      <c r="E127" s="681"/>
      <c r="F127" s="681"/>
      <c r="H127" s="3">
        <v>0</v>
      </c>
    </row>
    <row r="128" spans="1:8" ht="12" customHeight="1">
      <c r="A128" s="677" t="s">
        <v>1262</v>
      </c>
      <c r="B128" s="678">
        <v>3425</v>
      </c>
      <c r="C128" s="681"/>
      <c r="D128" s="681"/>
      <c r="E128" s="681"/>
      <c r="F128" s="681"/>
      <c r="H128" s="3">
        <v>0</v>
      </c>
    </row>
    <row r="129" spans="1:8" ht="12" customHeight="1">
      <c r="A129" s="677" t="s">
        <v>1262</v>
      </c>
      <c r="B129" s="678">
        <v>3426</v>
      </c>
      <c r="C129" s="681"/>
      <c r="D129" s="681"/>
      <c r="E129" s="681"/>
      <c r="F129" s="681"/>
      <c r="H129" s="3">
        <v>0</v>
      </c>
    </row>
    <row r="130" spans="1:8" ht="12" customHeight="1">
      <c r="A130" s="677" t="s">
        <v>1262</v>
      </c>
      <c r="B130" s="678">
        <v>3428</v>
      </c>
      <c r="C130" s="681"/>
      <c r="D130" s="681"/>
      <c r="E130" s="681"/>
      <c r="F130" s="681"/>
      <c r="G130" s="3">
        <v>202729</v>
      </c>
      <c r="H130" s="3">
        <v>202729</v>
      </c>
    </row>
    <row r="131" spans="1:8" ht="12" customHeight="1">
      <c r="A131" s="677" t="s">
        <v>1262</v>
      </c>
      <c r="B131" s="678">
        <v>3429</v>
      </c>
      <c r="C131" s="681"/>
      <c r="D131" s="681"/>
      <c r="E131" s="681"/>
      <c r="F131" s="681"/>
      <c r="G131" s="3">
        <v>64980</v>
      </c>
      <c r="H131" s="3">
        <v>64980</v>
      </c>
    </row>
    <row r="132" spans="1:8" ht="12" customHeight="1">
      <c r="A132" s="677" t="s">
        <v>1262</v>
      </c>
      <c r="B132" s="678">
        <v>3430</v>
      </c>
      <c r="C132" s="681"/>
      <c r="D132" s="681"/>
      <c r="E132" s="681"/>
      <c r="F132" s="681"/>
      <c r="H132" s="3">
        <v>0</v>
      </c>
    </row>
    <row r="133" spans="1:8" ht="12" customHeight="1">
      <c r="A133" s="677" t="s">
        <v>1262</v>
      </c>
      <c r="B133" s="678">
        <v>3431</v>
      </c>
      <c r="C133" s="681"/>
      <c r="D133" s="681"/>
      <c r="E133" s="681"/>
      <c r="F133" s="681"/>
      <c r="H133" s="3">
        <v>0</v>
      </c>
    </row>
    <row r="134" spans="1:8" ht="12" customHeight="1">
      <c r="A134" s="677" t="s">
        <v>1262</v>
      </c>
      <c r="B134" s="678">
        <v>3432</v>
      </c>
      <c r="C134" s="681"/>
      <c r="D134" s="681"/>
      <c r="E134" s="681"/>
      <c r="F134" s="681"/>
      <c r="G134" s="3">
        <v>1639</v>
      </c>
      <c r="H134" s="3">
        <v>1639</v>
      </c>
    </row>
    <row r="135" spans="1:8" ht="12" customHeight="1">
      <c r="A135" s="677" t="s">
        <v>1262</v>
      </c>
      <c r="B135" s="678">
        <v>3433</v>
      </c>
      <c r="C135" s="681"/>
      <c r="D135" s="681"/>
      <c r="E135" s="681"/>
      <c r="F135" s="681"/>
      <c r="H135" s="3">
        <v>0</v>
      </c>
    </row>
    <row r="136" spans="1:8" ht="12" customHeight="1">
      <c r="A136" s="677" t="s">
        <v>1262</v>
      </c>
      <c r="B136" s="678">
        <v>3444</v>
      </c>
      <c r="C136" s="681"/>
      <c r="D136" s="681"/>
      <c r="E136" s="681"/>
      <c r="F136" s="681"/>
      <c r="H136" s="3">
        <v>0</v>
      </c>
    </row>
    <row r="137" spans="1:8" ht="12" customHeight="1">
      <c r="A137" s="677" t="s">
        <v>1262</v>
      </c>
      <c r="B137" s="678">
        <v>3445</v>
      </c>
      <c r="C137" s="681"/>
      <c r="D137" s="681"/>
      <c r="E137" s="681"/>
      <c r="F137" s="681"/>
      <c r="H137" s="3">
        <v>0</v>
      </c>
    </row>
    <row r="138" spans="1:8" ht="12" customHeight="1">
      <c r="A138" s="677" t="s">
        <v>1262</v>
      </c>
      <c r="B138" s="678">
        <v>3446</v>
      </c>
      <c r="C138" s="681"/>
      <c r="D138" s="681"/>
      <c r="E138" s="681"/>
      <c r="F138" s="681"/>
      <c r="H138" s="3">
        <v>0</v>
      </c>
    </row>
    <row r="139" spans="1:8" ht="12" customHeight="1">
      <c r="A139" s="677" t="s">
        <v>1262</v>
      </c>
      <c r="B139" s="678">
        <v>3450</v>
      </c>
      <c r="C139" s="681">
        <v>1414787</v>
      </c>
      <c r="D139" s="681">
        <v>537723</v>
      </c>
      <c r="E139" s="681"/>
      <c r="F139" s="681"/>
      <c r="H139" s="3">
        <v>1952510</v>
      </c>
    </row>
    <row r="140" spans="1:8" ht="12" customHeight="1">
      <c r="A140" s="677" t="s">
        <v>1262</v>
      </c>
      <c r="B140" s="678">
        <v>3452</v>
      </c>
      <c r="C140" s="681"/>
      <c r="D140" s="681">
        <v>190766</v>
      </c>
      <c r="E140" s="681"/>
      <c r="F140" s="681"/>
      <c r="H140" s="3">
        <v>190766</v>
      </c>
    </row>
    <row r="141" spans="1:8" ht="12" customHeight="1">
      <c r="A141" s="677" t="s">
        <v>1262</v>
      </c>
      <c r="B141" s="678">
        <v>3453</v>
      </c>
      <c r="C141" s="681"/>
      <c r="D141" s="681"/>
      <c r="E141" s="681"/>
      <c r="F141" s="681"/>
      <c r="H141" s="3">
        <v>0</v>
      </c>
    </row>
    <row r="142" spans="1:8" ht="12" customHeight="1">
      <c r="A142" s="677" t="s">
        <v>1262</v>
      </c>
      <c r="B142" s="678">
        <v>3454</v>
      </c>
      <c r="C142" s="681"/>
      <c r="D142" s="681"/>
      <c r="E142" s="681"/>
      <c r="F142" s="681"/>
      <c r="H142" s="3">
        <v>0</v>
      </c>
    </row>
    <row r="143" spans="1:8" ht="12" customHeight="1">
      <c r="A143" s="677" t="s">
        <v>1262</v>
      </c>
      <c r="B143" s="678">
        <v>3455</v>
      </c>
      <c r="C143" s="681"/>
      <c r="D143" s="681"/>
      <c r="E143" s="681"/>
      <c r="F143" s="681"/>
      <c r="H143" s="3">
        <v>0</v>
      </c>
    </row>
    <row r="144" spans="1:8" ht="12" customHeight="1">
      <c r="A144" s="677" t="s">
        <v>1262</v>
      </c>
      <c r="B144" s="678">
        <v>3456</v>
      </c>
      <c r="C144" s="681"/>
      <c r="D144" s="681"/>
      <c r="E144" s="681"/>
      <c r="F144" s="681"/>
      <c r="H144" s="3">
        <v>0</v>
      </c>
    </row>
    <row r="145" spans="1:8" ht="12" customHeight="1">
      <c r="A145" s="677" t="s">
        <v>1262</v>
      </c>
      <c r="B145" s="678" t="s">
        <v>1103</v>
      </c>
      <c r="C145" s="681"/>
      <c r="D145" s="681"/>
      <c r="E145" s="681"/>
      <c r="F145" s="681"/>
      <c r="H145" s="3">
        <v>0</v>
      </c>
    </row>
    <row r="146" spans="1:8" ht="12" customHeight="1">
      <c r="A146" s="677" t="s">
        <v>1262</v>
      </c>
      <c r="B146" s="678">
        <v>3462</v>
      </c>
      <c r="C146" s="681">
        <v>4320</v>
      </c>
      <c r="D146" s="681"/>
      <c r="E146" s="681"/>
      <c r="F146" s="681"/>
      <c r="H146" s="3">
        <v>4320</v>
      </c>
    </row>
    <row r="147" spans="1:8" ht="12" customHeight="1">
      <c r="A147" s="677" t="s">
        <v>1262</v>
      </c>
      <c r="B147" s="678">
        <v>3463</v>
      </c>
      <c r="C147" s="681"/>
      <c r="D147" s="681"/>
      <c r="E147" s="681"/>
      <c r="F147" s="681"/>
      <c r="H147" s="3">
        <v>0</v>
      </c>
    </row>
    <row r="148" spans="1:8" ht="12" customHeight="1">
      <c r="A148" s="677" t="s">
        <v>1262</v>
      </c>
      <c r="B148" s="678">
        <v>3464</v>
      </c>
      <c r="C148" s="681"/>
      <c r="D148" s="681"/>
      <c r="E148" s="681"/>
      <c r="F148" s="681"/>
      <c r="H148" s="3">
        <v>0</v>
      </c>
    </row>
    <row r="149" spans="1:8" ht="12" customHeight="1">
      <c r="A149" s="677" t="s">
        <v>1262</v>
      </c>
      <c r="B149" s="678">
        <v>3467</v>
      </c>
      <c r="C149" s="681">
        <v>12345</v>
      </c>
      <c r="D149" s="681">
        <v>13457</v>
      </c>
      <c r="E149" s="681"/>
      <c r="F149" s="681"/>
      <c r="H149" s="3">
        <v>25802</v>
      </c>
    </row>
    <row r="150" spans="1:8" ht="12" customHeight="1">
      <c r="A150" s="677" t="s">
        <v>1262</v>
      </c>
      <c r="B150" s="678">
        <v>3468</v>
      </c>
      <c r="C150" s="681"/>
      <c r="D150" s="681"/>
      <c r="E150" s="681"/>
      <c r="F150" s="681"/>
      <c r="H150" s="3">
        <v>0</v>
      </c>
    </row>
    <row r="151" spans="1:8" ht="12" customHeight="1">
      <c r="A151" s="677" t="s">
        <v>1262</v>
      </c>
      <c r="B151" s="678">
        <v>3473</v>
      </c>
      <c r="C151" s="681">
        <v>75502</v>
      </c>
      <c r="D151" s="681">
        <v>268188</v>
      </c>
      <c r="E151" s="681"/>
      <c r="F151" s="681"/>
      <c r="H151" s="3">
        <v>343690</v>
      </c>
    </row>
    <row r="152" spans="1:8" ht="12" customHeight="1">
      <c r="A152" s="677" t="s">
        <v>1262</v>
      </c>
      <c r="B152" s="678">
        <v>3474</v>
      </c>
      <c r="C152" s="681"/>
      <c r="D152" s="681"/>
      <c r="E152" s="681"/>
      <c r="F152" s="681"/>
      <c r="H152" s="3">
        <v>0</v>
      </c>
    </row>
    <row r="153" spans="1:8" ht="12" customHeight="1">
      <c r="A153" s="677" t="s">
        <v>1262</v>
      </c>
      <c r="B153" s="678">
        <v>3476</v>
      </c>
      <c r="C153" s="681"/>
      <c r="D153" s="681"/>
      <c r="E153" s="681"/>
      <c r="F153" s="681"/>
      <c r="G153" s="3">
        <v>42575</v>
      </c>
      <c r="H153" s="3">
        <v>42575</v>
      </c>
    </row>
    <row r="154" spans="1:8" ht="12" customHeight="1">
      <c r="A154" s="677" t="s">
        <v>1262</v>
      </c>
      <c r="B154" s="678">
        <v>3477</v>
      </c>
      <c r="C154" s="681"/>
      <c r="D154" s="681"/>
      <c r="E154" s="681"/>
      <c r="F154" s="681"/>
      <c r="H154" s="3">
        <v>0</v>
      </c>
    </row>
    <row r="155" spans="1:8" ht="12" customHeight="1">
      <c r="A155" s="677" t="s">
        <v>1262</v>
      </c>
      <c r="B155" s="678">
        <v>3478</v>
      </c>
      <c r="C155" s="681"/>
      <c r="D155" s="681"/>
      <c r="E155" s="681"/>
      <c r="F155" s="681"/>
      <c r="H155" s="3">
        <v>0</v>
      </c>
    </row>
    <row r="156" spans="1:8" ht="12" customHeight="1">
      <c r="A156" s="677" t="s">
        <v>1262</v>
      </c>
      <c r="B156" s="678">
        <v>3481</v>
      </c>
      <c r="C156" s="681"/>
      <c r="D156" s="681"/>
      <c r="E156" s="681"/>
      <c r="F156" s="681"/>
      <c r="H156" s="3">
        <v>0</v>
      </c>
    </row>
    <row r="157" spans="1:8" ht="12" customHeight="1">
      <c r="A157" s="677" t="s">
        <v>1262</v>
      </c>
      <c r="B157" s="678">
        <v>3482</v>
      </c>
      <c r="C157" s="681"/>
      <c r="D157" s="681"/>
      <c r="E157" s="681"/>
      <c r="F157" s="681"/>
      <c r="H157" s="3">
        <v>0</v>
      </c>
    </row>
    <row r="158" spans="1:8" ht="12" customHeight="1">
      <c r="A158" s="677" t="s">
        <v>1262</v>
      </c>
      <c r="B158" s="678">
        <v>3485</v>
      </c>
      <c r="C158" s="681"/>
      <c r="D158" s="681"/>
      <c r="E158" s="681"/>
      <c r="F158" s="681"/>
      <c r="H158" s="3">
        <v>0</v>
      </c>
    </row>
    <row r="159" spans="1:8" ht="12" customHeight="1">
      <c r="A159" s="677" t="s">
        <v>1262</v>
      </c>
      <c r="B159" s="678">
        <v>3487</v>
      </c>
      <c r="C159" s="681"/>
      <c r="D159" s="681"/>
      <c r="E159" s="681"/>
      <c r="F159" s="681"/>
      <c r="H159" s="3">
        <v>0</v>
      </c>
    </row>
    <row r="160" spans="1:8" ht="12" customHeight="1">
      <c r="A160" s="677" t="s">
        <v>1262</v>
      </c>
      <c r="B160" s="678">
        <v>3488</v>
      </c>
      <c r="C160" s="681"/>
      <c r="D160" s="681"/>
      <c r="E160" s="681"/>
      <c r="F160" s="681"/>
      <c r="H160" s="3">
        <v>0</v>
      </c>
    </row>
    <row r="161" spans="1:8" ht="12" customHeight="1">
      <c r="A161" s="677" t="s">
        <v>1262</v>
      </c>
      <c r="B161" s="678">
        <v>3489</v>
      </c>
      <c r="C161" s="681"/>
      <c r="D161" s="681"/>
      <c r="E161" s="681"/>
      <c r="F161" s="681"/>
      <c r="H161" s="3">
        <v>0</v>
      </c>
    </row>
    <row r="162" spans="1:8" ht="12" customHeight="1">
      <c r="A162" s="677" t="s">
        <v>1262</v>
      </c>
      <c r="B162" s="678">
        <v>3490</v>
      </c>
      <c r="C162" s="681"/>
      <c r="D162" s="681"/>
      <c r="E162" s="681"/>
      <c r="F162" s="681"/>
      <c r="H162" s="3">
        <v>0</v>
      </c>
    </row>
    <row r="163" spans="1:8" ht="12" customHeight="1">
      <c r="A163" s="677" t="s">
        <v>1262</v>
      </c>
      <c r="B163" s="678">
        <v>3491</v>
      </c>
      <c r="C163" s="681"/>
      <c r="D163" s="681"/>
      <c r="E163" s="681"/>
      <c r="F163" s="681"/>
      <c r="H163" s="3">
        <v>0</v>
      </c>
    </row>
    <row r="164" spans="1:8" ht="12" customHeight="1">
      <c r="A164" s="677" t="s">
        <v>1262</v>
      </c>
      <c r="B164" s="678">
        <v>3492</v>
      </c>
      <c r="C164" s="681"/>
      <c r="D164" s="681"/>
      <c r="E164" s="681"/>
      <c r="F164" s="681"/>
      <c r="H164" s="3">
        <v>0</v>
      </c>
    </row>
    <row r="165" spans="1:8" ht="12" customHeight="1">
      <c r="A165" s="677" t="s">
        <v>1262</v>
      </c>
      <c r="B165" s="678">
        <v>3494</v>
      </c>
      <c r="C165" s="681"/>
      <c r="D165" s="681"/>
      <c r="E165" s="681"/>
      <c r="F165" s="681"/>
      <c r="H165" s="3">
        <v>0</v>
      </c>
    </row>
    <row r="166" spans="1:8" ht="12" customHeight="1">
      <c r="A166" s="677" t="s">
        <v>1262</v>
      </c>
      <c r="B166" s="678">
        <v>3495</v>
      </c>
      <c r="C166" s="681"/>
      <c r="D166" s="681"/>
      <c r="E166" s="681"/>
      <c r="F166" s="681"/>
      <c r="H166" s="3">
        <v>0</v>
      </c>
    </row>
    <row r="167" spans="1:8" ht="12" customHeight="1">
      <c r="A167" s="677" t="s">
        <v>1262</v>
      </c>
      <c r="B167" s="678">
        <v>3496</v>
      </c>
      <c r="C167" s="681"/>
      <c r="D167" s="681"/>
      <c r="E167" s="681"/>
      <c r="F167" s="681"/>
      <c r="H167" s="3">
        <v>0</v>
      </c>
    </row>
    <row r="168" spans="1:8" ht="12" customHeight="1">
      <c r="A168" s="677" t="s">
        <v>1262</v>
      </c>
      <c r="B168" s="678">
        <v>3497</v>
      </c>
      <c r="C168" s="681"/>
      <c r="D168" s="681"/>
      <c r="E168" s="681"/>
      <c r="F168" s="681"/>
      <c r="H168" s="3">
        <v>0</v>
      </c>
    </row>
    <row r="169" spans="1:8" ht="12" customHeight="1">
      <c r="A169" s="677" t="s">
        <v>1262</v>
      </c>
      <c r="B169" s="678">
        <v>3499</v>
      </c>
      <c r="C169" s="681"/>
      <c r="D169" s="681"/>
      <c r="E169" s="681"/>
      <c r="F169" s="681"/>
      <c r="H169" s="3">
        <v>0</v>
      </c>
    </row>
    <row r="170" spans="1:8" ht="12" customHeight="1">
      <c r="A170" s="677" t="s">
        <v>1262</v>
      </c>
      <c r="B170" s="678">
        <v>3501</v>
      </c>
      <c r="C170" s="681"/>
      <c r="D170" s="681"/>
      <c r="E170" s="681"/>
      <c r="F170" s="681"/>
      <c r="H170" s="3">
        <v>0</v>
      </c>
    </row>
    <row r="171" spans="1:8" ht="12" customHeight="1">
      <c r="A171" s="677" t="s">
        <v>1262</v>
      </c>
      <c r="B171" s="678">
        <v>3502</v>
      </c>
      <c r="C171" s="681"/>
      <c r="D171" s="681"/>
      <c r="E171" s="681"/>
      <c r="F171" s="681"/>
      <c r="H171" s="3">
        <v>0</v>
      </c>
    </row>
    <row r="172" spans="1:8" ht="12" customHeight="1">
      <c r="A172" s="677" t="s">
        <v>1262</v>
      </c>
      <c r="B172" s="678">
        <v>3503</v>
      </c>
      <c r="C172" s="681"/>
      <c r="D172" s="681"/>
      <c r="E172" s="681"/>
      <c r="F172" s="681"/>
      <c r="H172" s="3">
        <v>0</v>
      </c>
    </row>
    <row r="173" spans="1:8" ht="12" customHeight="1">
      <c r="A173" s="677" t="s">
        <v>1262</v>
      </c>
      <c r="B173" s="678">
        <v>3504</v>
      </c>
      <c r="C173" s="681"/>
      <c r="D173" s="681"/>
      <c r="E173" s="681"/>
      <c r="F173" s="681"/>
      <c r="H173" s="3">
        <v>0</v>
      </c>
    </row>
    <row r="174" spans="1:8" ht="12" customHeight="1">
      <c r="A174" s="677" t="s">
        <v>1262</v>
      </c>
      <c r="B174" s="678">
        <v>3506</v>
      </c>
      <c r="C174" s="681"/>
      <c r="D174" s="681"/>
      <c r="E174" s="681"/>
      <c r="F174" s="681"/>
      <c r="H174" s="3">
        <v>0</v>
      </c>
    </row>
    <row r="175" spans="1:8" ht="12" customHeight="1">
      <c r="A175" s="677" t="s">
        <v>1262</v>
      </c>
      <c r="B175" s="678">
        <v>3507</v>
      </c>
      <c r="C175" s="681"/>
      <c r="D175" s="681"/>
      <c r="E175" s="681"/>
      <c r="F175" s="681"/>
      <c r="H175" s="3">
        <v>0</v>
      </c>
    </row>
    <row r="176" spans="1:8" ht="12" customHeight="1">
      <c r="A176" s="677" t="s">
        <v>1262</v>
      </c>
      <c r="B176" s="678">
        <v>3508</v>
      </c>
      <c r="C176" s="681"/>
      <c r="D176" s="681"/>
      <c r="E176" s="681"/>
      <c r="F176" s="681"/>
      <c r="H176" s="3">
        <v>0</v>
      </c>
    </row>
    <row r="177" spans="1:8" ht="12" customHeight="1">
      <c r="A177" s="677" t="s">
        <v>1262</v>
      </c>
      <c r="B177" s="678">
        <v>3511</v>
      </c>
      <c r="C177" s="681"/>
      <c r="D177" s="681"/>
      <c r="E177" s="681"/>
      <c r="F177" s="681"/>
      <c r="H177" s="3">
        <v>0</v>
      </c>
    </row>
    <row r="178" spans="1:8" ht="12" customHeight="1">
      <c r="A178" s="677" t="s">
        <v>1262</v>
      </c>
      <c r="B178" s="678">
        <v>3514</v>
      </c>
      <c r="C178" s="681"/>
      <c r="D178" s="681"/>
      <c r="E178" s="681"/>
      <c r="F178" s="681"/>
      <c r="H178" s="3">
        <v>0</v>
      </c>
    </row>
    <row r="179" spans="1:8" ht="12" customHeight="1">
      <c r="A179" s="677" t="s">
        <v>1262</v>
      </c>
      <c r="B179" s="678">
        <v>3515</v>
      </c>
      <c r="C179" s="681">
        <v>4577</v>
      </c>
      <c r="D179" s="681">
        <v>1294</v>
      </c>
      <c r="E179" s="681"/>
      <c r="F179" s="681"/>
      <c r="H179" s="3">
        <v>5871</v>
      </c>
    </row>
    <row r="180" spans="1:8" ht="12" customHeight="1">
      <c r="A180" s="677" t="s">
        <v>1262</v>
      </c>
      <c r="B180" s="678">
        <v>3516</v>
      </c>
      <c r="C180" s="681"/>
      <c r="D180" s="681"/>
      <c r="E180" s="681"/>
      <c r="F180" s="681"/>
      <c r="H180" s="3">
        <v>0</v>
      </c>
    </row>
    <row r="181" spans="1:8" ht="12" customHeight="1">
      <c r="A181" s="677" t="s">
        <v>1262</v>
      </c>
      <c r="B181" s="678">
        <v>3524</v>
      </c>
      <c r="C181" s="681"/>
      <c r="D181" s="681"/>
      <c r="E181" s="681"/>
      <c r="F181" s="681"/>
      <c r="H181" s="3">
        <v>0</v>
      </c>
    </row>
    <row r="182" spans="1:8" ht="12" customHeight="1">
      <c r="A182" s="677" t="s">
        <v>1262</v>
      </c>
      <c r="B182" s="678">
        <v>3525</v>
      </c>
      <c r="C182" s="681">
        <v>5142</v>
      </c>
      <c r="D182" s="681"/>
      <c r="E182" s="681"/>
      <c r="F182" s="681"/>
      <c r="H182" s="3">
        <v>5142</v>
      </c>
    </row>
    <row r="183" spans="1:8" ht="12" customHeight="1">
      <c r="A183" s="677" t="s">
        <v>1262</v>
      </c>
      <c r="B183" s="678">
        <v>3526</v>
      </c>
      <c r="C183" s="681"/>
      <c r="D183" s="681"/>
      <c r="E183" s="681"/>
      <c r="F183" s="681"/>
      <c r="H183" s="3">
        <v>0</v>
      </c>
    </row>
    <row r="184" spans="1:8" ht="12" customHeight="1">
      <c r="A184" s="677" t="s">
        <v>1262</v>
      </c>
      <c r="B184" s="678">
        <v>3535</v>
      </c>
      <c r="C184" s="681">
        <v>23349</v>
      </c>
      <c r="D184" s="681"/>
      <c r="E184" s="681"/>
      <c r="F184" s="681"/>
      <c r="H184" s="3">
        <v>23349</v>
      </c>
    </row>
    <row r="185" spans="1:8" ht="12" customHeight="1">
      <c r="A185" s="677" t="s">
        <v>1262</v>
      </c>
      <c r="B185" s="678">
        <v>3540</v>
      </c>
      <c r="C185" s="681"/>
      <c r="D185" s="681"/>
      <c r="E185" s="681"/>
      <c r="F185" s="681"/>
      <c r="H185" s="3">
        <v>0</v>
      </c>
    </row>
    <row r="186" spans="1:8" ht="12" customHeight="1">
      <c r="A186" s="677" t="s">
        <v>1262</v>
      </c>
      <c r="B186" s="678">
        <v>3541</v>
      </c>
      <c r="C186" s="681"/>
      <c r="D186" s="681"/>
      <c r="E186" s="681"/>
      <c r="F186" s="681"/>
      <c r="H186" s="3">
        <v>0</v>
      </c>
    </row>
    <row r="187" spans="1:8" ht="12" customHeight="1">
      <c r="A187" s="677" t="s">
        <v>1262</v>
      </c>
      <c r="B187" s="678">
        <v>3542</v>
      </c>
      <c r="C187" s="681">
        <v>7378</v>
      </c>
      <c r="D187" s="681"/>
      <c r="E187" s="681"/>
      <c r="F187" s="681"/>
      <c r="H187" s="3">
        <v>7378</v>
      </c>
    </row>
    <row r="188" spans="1:8" ht="12" customHeight="1">
      <c r="A188" s="677" t="s">
        <v>1262</v>
      </c>
      <c r="B188" s="678">
        <v>3543</v>
      </c>
      <c r="C188" s="681"/>
      <c r="D188" s="681"/>
      <c r="E188" s="681"/>
      <c r="F188" s="681"/>
      <c r="H188" s="3">
        <v>0</v>
      </c>
    </row>
    <row r="189" spans="1:8" ht="12" customHeight="1">
      <c r="A189" s="677" t="s">
        <v>1262</v>
      </c>
      <c r="B189" s="678">
        <v>3545</v>
      </c>
      <c r="C189" s="681">
        <v>2464</v>
      </c>
      <c r="D189" s="681"/>
      <c r="E189" s="681"/>
      <c r="F189" s="681"/>
      <c r="H189" s="3">
        <v>2464</v>
      </c>
    </row>
    <row r="190" spans="1:8" ht="12" customHeight="1">
      <c r="A190" s="677" t="s">
        <v>1262</v>
      </c>
      <c r="B190" s="678">
        <v>3546</v>
      </c>
      <c r="C190" s="681"/>
      <c r="D190" s="681"/>
      <c r="E190" s="681"/>
      <c r="F190" s="681"/>
      <c r="H190" s="3">
        <v>0</v>
      </c>
    </row>
    <row r="191" spans="1:8" ht="12" customHeight="1">
      <c r="A191" s="677" t="s">
        <v>1262</v>
      </c>
      <c r="B191" s="678">
        <v>3547</v>
      </c>
      <c r="C191" s="681"/>
      <c r="D191" s="681"/>
      <c r="E191" s="681"/>
      <c r="F191" s="681"/>
      <c r="H191" s="3">
        <v>0</v>
      </c>
    </row>
    <row r="192" spans="1:8" ht="12" customHeight="1">
      <c r="A192" s="677" t="s">
        <v>1262</v>
      </c>
      <c r="B192" s="678">
        <v>3549</v>
      </c>
      <c r="C192" s="681"/>
      <c r="D192" s="681"/>
      <c r="E192" s="681"/>
      <c r="F192" s="681"/>
      <c r="H192" s="3">
        <v>0</v>
      </c>
    </row>
    <row r="193" spans="1:8" ht="12" customHeight="1">
      <c r="A193" s="677" t="s">
        <v>1262</v>
      </c>
      <c r="B193" s="678">
        <v>3550</v>
      </c>
      <c r="C193" s="681"/>
      <c r="D193" s="681"/>
      <c r="E193" s="681"/>
      <c r="F193" s="681"/>
      <c r="H193" s="3">
        <v>0</v>
      </c>
    </row>
    <row r="194" spans="1:8" ht="12" customHeight="1">
      <c r="A194" s="677" t="s">
        <v>1262</v>
      </c>
      <c r="B194" s="678">
        <v>3551</v>
      </c>
      <c r="C194" s="681"/>
      <c r="D194" s="681"/>
      <c r="E194" s="681"/>
      <c r="F194" s="681"/>
      <c r="H194" s="3">
        <v>0</v>
      </c>
    </row>
    <row r="195" spans="1:8" ht="12" customHeight="1">
      <c r="A195" s="677" t="s">
        <v>1262</v>
      </c>
      <c r="B195" s="678">
        <v>3553</v>
      </c>
      <c r="C195" s="681">
        <v>2866</v>
      </c>
      <c r="D195" s="681"/>
      <c r="E195" s="681"/>
      <c r="F195" s="681"/>
      <c r="H195" s="3">
        <v>2866</v>
      </c>
    </row>
    <row r="196" spans="1:8" ht="12" customHeight="1">
      <c r="A196" s="677" t="s">
        <v>1262</v>
      </c>
      <c r="B196" s="678">
        <v>3554</v>
      </c>
      <c r="C196" s="681"/>
      <c r="D196" s="681"/>
      <c r="E196" s="681"/>
      <c r="F196" s="681"/>
      <c r="H196" s="3">
        <v>0</v>
      </c>
    </row>
    <row r="197" spans="1:8" ht="12" customHeight="1">
      <c r="A197" s="677" t="s">
        <v>1262</v>
      </c>
      <c r="B197" s="678">
        <v>3555</v>
      </c>
      <c r="C197" s="681"/>
      <c r="D197" s="681"/>
      <c r="E197" s="681"/>
      <c r="F197" s="681"/>
      <c r="H197" s="3">
        <v>0</v>
      </c>
    </row>
    <row r="198" spans="1:8" ht="12" customHeight="1">
      <c r="A198" s="677" t="s">
        <v>1262</v>
      </c>
      <c r="B198" s="678">
        <v>3561</v>
      </c>
      <c r="C198" s="681">
        <v>0</v>
      </c>
      <c r="D198" s="681">
        <v>120726</v>
      </c>
      <c r="E198" s="681"/>
      <c r="F198" s="681"/>
      <c r="H198" s="3">
        <v>120726</v>
      </c>
    </row>
    <row r="199" spans="1:8" ht="12" customHeight="1">
      <c r="A199" s="677" t="s">
        <v>1262</v>
      </c>
      <c r="B199" s="678">
        <v>3562</v>
      </c>
      <c r="C199" s="681"/>
      <c r="D199" s="681"/>
      <c r="E199" s="681"/>
      <c r="F199" s="681"/>
      <c r="H199" s="3">
        <v>0</v>
      </c>
    </row>
    <row r="200" spans="1:8" ht="12" customHeight="1">
      <c r="A200" s="677" t="s">
        <v>1262</v>
      </c>
      <c r="B200" s="678">
        <v>3563</v>
      </c>
      <c r="C200" s="681"/>
      <c r="D200" s="681"/>
      <c r="E200" s="681"/>
      <c r="F200" s="681"/>
      <c r="H200" s="3">
        <v>0</v>
      </c>
    </row>
    <row r="201" spans="1:8" ht="12" customHeight="1">
      <c r="A201" s="677" t="s">
        <v>1262</v>
      </c>
      <c r="B201" s="678">
        <v>3564</v>
      </c>
      <c r="C201" s="681"/>
      <c r="D201" s="681"/>
      <c r="E201" s="681"/>
      <c r="F201" s="681"/>
      <c r="H201" s="3">
        <v>0</v>
      </c>
    </row>
    <row r="202" spans="1:8" ht="12" customHeight="1">
      <c r="A202" s="677" t="s">
        <v>1262</v>
      </c>
      <c r="B202" s="678">
        <v>3565</v>
      </c>
      <c r="C202" s="681">
        <v>0</v>
      </c>
      <c r="D202" s="681">
        <v>498</v>
      </c>
      <c r="E202" s="681"/>
      <c r="F202" s="681"/>
      <c r="H202" s="3">
        <v>498</v>
      </c>
    </row>
    <row r="203" spans="1:8" ht="12" customHeight="1">
      <c r="A203" s="677" t="s">
        <v>1262</v>
      </c>
      <c r="B203" s="678">
        <v>3566</v>
      </c>
      <c r="C203" s="681"/>
      <c r="D203" s="681"/>
      <c r="E203" s="681"/>
      <c r="F203" s="681"/>
      <c r="H203" s="3">
        <v>0</v>
      </c>
    </row>
    <row r="204" spans="1:8" ht="12" customHeight="1">
      <c r="A204" s="677" t="s">
        <v>1262</v>
      </c>
      <c r="B204" s="678">
        <v>3571</v>
      </c>
      <c r="C204" s="681"/>
      <c r="D204" s="681"/>
      <c r="E204" s="681"/>
      <c r="F204" s="681"/>
      <c r="H204" s="3">
        <v>0</v>
      </c>
    </row>
    <row r="205" spans="1:8" ht="12" customHeight="1">
      <c r="A205" s="677" t="s">
        <v>1262</v>
      </c>
      <c r="B205" s="678">
        <v>3572</v>
      </c>
      <c r="C205" s="681"/>
      <c r="D205" s="681"/>
      <c r="E205" s="681"/>
      <c r="F205" s="681"/>
      <c r="H205" s="3">
        <v>0</v>
      </c>
    </row>
    <row r="206" spans="1:8" ht="12" customHeight="1">
      <c r="A206" s="677" t="s">
        <v>1262</v>
      </c>
      <c r="B206" s="678">
        <v>3573</v>
      </c>
      <c r="C206" s="681"/>
      <c r="D206" s="681"/>
      <c r="E206" s="681"/>
      <c r="F206" s="681"/>
      <c r="H206" s="3">
        <v>0</v>
      </c>
    </row>
    <row r="207" spans="1:8" ht="12" customHeight="1">
      <c r="A207" s="677" t="s">
        <v>1262</v>
      </c>
      <c r="B207" s="678">
        <v>3574</v>
      </c>
      <c r="C207" s="681"/>
      <c r="D207" s="681"/>
      <c r="E207" s="681"/>
      <c r="F207" s="681"/>
      <c r="H207" s="3">
        <v>0</v>
      </c>
    </row>
    <row r="208" spans="1:8" ht="12" customHeight="1">
      <c r="A208" s="677" t="s">
        <v>1262</v>
      </c>
      <c r="B208" s="678">
        <v>3575</v>
      </c>
      <c r="C208" s="681"/>
      <c r="D208" s="681"/>
      <c r="E208" s="681"/>
      <c r="F208" s="681"/>
      <c r="H208" s="3">
        <v>0</v>
      </c>
    </row>
    <row r="209" spans="1:8" ht="12" customHeight="1">
      <c r="A209" s="677" t="s">
        <v>1262</v>
      </c>
      <c r="B209" s="678">
        <v>3576</v>
      </c>
      <c r="C209" s="681"/>
      <c r="D209" s="681"/>
      <c r="E209" s="681"/>
      <c r="F209" s="681"/>
      <c r="H209" s="3">
        <v>0</v>
      </c>
    </row>
    <row r="210" spans="1:8" ht="12" customHeight="1">
      <c r="A210" s="677" t="s">
        <v>1262</v>
      </c>
      <c r="B210" s="678">
        <v>3581</v>
      </c>
      <c r="C210" s="681"/>
      <c r="D210" s="681"/>
      <c r="E210" s="681"/>
      <c r="F210" s="681"/>
      <c r="H210" s="3">
        <v>0</v>
      </c>
    </row>
    <row r="211" spans="1:8" ht="12" customHeight="1">
      <c r="A211" s="677" t="s">
        <v>1262</v>
      </c>
      <c r="B211" s="678">
        <v>3582</v>
      </c>
      <c r="C211" s="681"/>
      <c r="D211" s="681"/>
      <c r="E211" s="681"/>
      <c r="F211" s="681"/>
      <c r="H211" s="3">
        <v>0</v>
      </c>
    </row>
    <row r="212" spans="1:8" ht="12" customHeight="1">
      <c r="A212" s="677" t="s">
        <v>1262</v>
      </c>
      <c r="B212" s="678">
        <v>3583</v>
      </c>
      <c r="C212" s="681"/>
      <c r="D212" s="681"/>
      <c r="E212" s="681"/>
      <c r="F212" s="681"/>
      <c r="H212" s="3">
        <v>0</v>
      </c>
    </row>
    <row r="213" spans="1:8" ht="12" customHeight="1">
      <c r="A213" s="677" t="s">
        <v>1262</v>
      </c>
      <c r="B213" s="678">
        <v>3584</v>
      </c>
      <c r="C213" s="681"/>
      <c r="D213" s="681"/>
      <c r="E213" s="681"/>
      <c r="F213" s="681"/>
      <c r="H213" s="3">
        <v>0</v>
      </c>
    </row>
    <row r="214" spans="1:8" ht="12" customHeight="1">
      <c r="A214" s="677" t="s">
        <v>1262</v>
      </c>
      <c r="B214" s="678">
        <v>3585</v>
      </c>
      <c r="C214" s="681"/>
      <c r="D214" s="681"/>
      <c r="E214" s="681"/>
      <c r="F214" s="681"/>
      <c r="H214" s="3">
        <v>0</v>
      </c>
    </row>
    <row r="215" spans="1:8" ht="12" customHeight="1">
      <c r="A215" s="677" t="s">
        <v>1262</v>
      </c>
      <c r="B215" s="678">
        <v>3586</v>
      </c>
      <c r="C215" s="681"/>
      <c r="D215" s="681"/>
      <c r="E215" s="681"/>
      <c r="F215" s="681"/>
      <c r="H215" s="3">
        <v>0</v>
      </c>
    </row>
    <row r="216" spans="1:8" ht="12" customHeight="1">
      <c r="A216" s="677" t="s">
        <v>1263</v>
      </c>
      <c r="B216" s="678">
        <v>3401</v>
      </c>
      <c r="C216" s="681"/>
      <c r="D216" s="681"/>
      <c r="E216" s="681"/>
      <c r="F216" s="681"/>
      <c r="H216" s="3">
        <v>0</v>
      </c>
    </row>
    <row r="217" spans="1:8" ht="12" customHeight="1">
      <c r="A217" s="677" t="s">
        <v>1263</v>
      </c>
      <c r="B217" s="678">
        <v>3402</v>
      </c>
      <c r="C217" s="681"/>
      <c r="D217" s="681"/>
      <c r="E217" s="681"/>
      <c r="F217" s="681"/>
      <c r="H217" s="3">
        <v>0</v>
      </c>
    </row>
    <row r="218" spans="1:8" ht="12" customHeight="1">
      <c r="A218" s="677" t="s">
        <v>1263</v>
      </c>
      <c r="B218" s="678">
        <v>3403</v>
      </c>
      <c r="C218" s="681"/>
      <c r="D218" s="681"/>
      <c r="E218" s="681"/>
      <c r="F218" s="681"/>
      <c r="H218" s="3">
        <v>0</v>
      </c>
    </row>
    <row r="219" spans="1:8" ht="12" customHeight="1">
      <c r="A219" s="677" t="s">
        <v>1263</v>
      </c>
      <c r="B219" s="678">
        <v>3404</v>
      </c>
      <c r="C219" s="681"/>
      <c r="D219" s="681"/>
      <c r="E219" s="681"/>
      <c r="F219" s="681"/>
      <c r="H219" s="3">
        <v>0</v>
      </c>
    </row>
    <row r="220" spans="1:8" ht="12" customHeight="1">
      <c r="A220" s="677" t="s">
        <v>1263</v>
      </c>
      <c r="B220" s="678">
        <v>3405</v>
      </c>
      <c r="C220" s="681"/>
      <c r="D220" s="681"/>
      <c r="E220" s="681"/>
      <c r="F220" s="681"/>
      <c r="H220" s="3">
        <v>0</v>
      </c>
    </row>
    <row r="221" spans="1:8" ht="12" customHeight="1">
      <c r="A221" s="677" t="s">
        <v>1263</v>
      </c>
      <c r="B221" s="678">
        <v>3406</v>
      </c>
      <c r="C221" s="681"/>
      <c r="D221" s="681"/>
      <c r="E221" s="681"/>
      <c r="F221" s="681"/>
      <c r="H221" s="3">
        <v>0</v>
      </c>
    </row>
    <row r="222" spans="1:8" ht="12" customHeight="1">
      <c r="A222" s="677" t="s">
        <v>1263</v>
      </c>
      <c r="B222" s="678">
        <v>3411</v>
      </c>
      <c r="C222" s="681"/>
      <c r="D222" s="681"/>
      <c r="E222" s="681"/>
      <c r="F222" s="681"/>
      <c r="H222" s="3">
        <v>0</v>
      </c>
    </row>
    <row r="223" spans="1:8" ht="12" customHeight="1">
      <c r="A223" s="677" t="s">
        <v>1263</v>
      </c>
      <c r="B223" s="678">
        <v>3412</v>
      </c>
      <c r="C223" s="681"/>
      <c r="D223" s="681"/>
      <c r="E223" s="681"/>
      <c r="F223" s="681"/>
      <c r="H223" s="3">
        <v>0</v>
      </c>
    </row>
    <row r="224" spans="1:8" ht="12" customHeight="1">
      <c r="A224" s="677" t="s">
        <v>1263</v>
      </c>
      <c r="B224" s="678">
        <v>3413</v>
      </c>
      <c r="C224" s="681"/>
      <c r="D224" s="681"/>
      <c r="E224" s="681"/>
      <c r="F224" s="681"/>
      <c r="H224" s="3">
        <v>0</v>
      </c>
    </row>
    <row r="225" spans="1:8" ht="12" customHeight="1">
      <c r="A225" s="677" t="s">
        <v>1263</v>
      </c>
      <c r="B225" s="678">
        <v>3414</v>
      </c>
      <c r="C225" s="681"/>
      <c r="D225" s="681"/>
      <c r="E225" s="681"/>
      <c r="F225" s="681"/>
      <c r="H225" s="3">
        <v>0</v>
      </c>
    </row>
    <row r="226" spans="1:8" ht="12" customHeight="1">
      <c r="A226" s="677" t="s">
        <v>1263</v>
      </c>
      <c r="B226" s="678">
        <v>3415</v>
      </c>
      <c r="C226" s="681"/>
      <c r="D226" s="681"/>
      <c r="E226" s="681"/>
      <c r="F226" s="681"/>
      <c r="H226" s="3">
        <v>0</v>
      </c>
    </row>
    <row r="227" spans="1:8" ht="12" customHeight="1">
      <c r="A227" s="677" t="s">
        <v>1263</v>
      </c>
      <c r="B227" s="678">
        <v>3416</v>
      </c>
      <c r="C227" s="681"/>
      <c r="D227" s="681"/>
      <c r="E227" s="681"/>
      <c r="F227" s="681"/>
      <c r="H227" s="3">
        <v>0</v>
      </c>
    </row>
    <row r="228" spans="1:8" ht="12" customHeight="1">
      <c r="A228" s="677" t="s">
        <v>1263</v>
      </c>
      <c r="B228" s="678">
        <v>3421</v>
      </c>
      <c r="C228" s="681">
        <v>0</v>
      </c>
      <c r="D228" s="681"/>
      <c r="E228" s="681"/>
      <c r="F228" s="681"/>
      <c r="H228" s="3">
        <v>0</v>
      </c>
    </row>
    <row r="229" spans="1:8" ht="12" customHeight="1">
      <c r="A229" s="677" t="s">
        <v>1263</v>
      </c>
      <c r="B229" s="678">
        <v>3422</v>
      </c>
      <c r="C229" s="681">
        <v>0</v>
      </c>
      <c r="D229" s="681"/>
      <c r="E229" s="681"/>
      <c r="F229" s="681"/>
      <c r="H229" s="3">
        <v>0</v>
      </c>
    </row>
    <row r="230" spans="1:8" ht="12" customHeight="1">
      <c r="A230" s="677" t="s">
        <v>1263</v>
      </c>
      <c r="B230" s="678">
        <v>3423</v>
      </c>
      <c r="C230" s="681">
        <v>0</v>
      </c>
      <c r="D230" s="681"/>
      <c r="E230" s="681"/>
      <c r="F230" s="681"/>
      <c r="H230" s="3">
        <v>0</v>
      </c>
    </row>
    <row r="231" spans="1:8" ht="12" customHeight="1">
      <c r="A231" s="677" t="s">
        <v>1263</v>
      </c>
      <c r="B231" s="678">
        <v>3424</v>
      </c>
      <c r="C231" s="681">
        <v>0</v>
      </c>
      <c r="D231" s="681"/>
      <c r="E231" s="681"/>
      <c r="F231" s="681"/>
      <c r="H231" s="3">
        <v>0</v>
      </c>
    </row>
    <row r="232" spans="1:8" ht="12" customHeight="1">
      <c r="A232" s="677" t="s">
        <v>1263</v>
      </c>
      <c r="B232" s="678">
        <v>3425</v>
      </c>
      <c r="C232" s="681">
        <v>0</v>
      </c>
      <c r="D232" s="681"/>
      <c r="E232" s="681"/>
      <c r="F232" s="681"/>
      <c r="H232" s="3">
        <v>0</v>
      </c>
    </row>
    <row r="233" spans="1:8" ht="12" customHeight="1">
      <c r="A233" s="677" t="s">
        <v>1263</v>
      </c>
      <c r="B233" s="678">
        <v>3426</v>
      </c>
      <c r="C233" s="681"/>
      <c r="D233" s="681"/>
      <c r="E233" s="681"/>
      <c r="F233" s="681"/>
      <c r="H233" s="3">
        <v>0</v>
      </c>
    </row>
    <row r="234" spans="1:8" ht="12" customHeight="1">
      <c r="A234" s="677" t="s">
        <v>1263</v>
      </c>
      <c r="B234" s="678">
        <v>3428</v>
      </c>
      <c r="C234" s="681"/>
      <c r="D234" s="681"/>
      <c r="E234" s="681"/>
      <c r="F234" s="681"/>
      <c r="G234" s="3">
        <v>217845</v>
      </c>
      <c r="H234" s="3">
        <v>217845</v>
      </c>
    </row>
    <row r="235" spans="1:8" ht="12" customHeight="1">
      <c r="A235" s="677" t="s">
        <v>1263</v>
      </c>
      <c r="B235" s="678">
        <v>3429</v>
      </c>
      <c r="C235" s="681"/>
      <c r="D235" s="681"/>
      <c r="E235" s="681"/>
      <c r="F235" s="681"/>
      <c r="G235" s="3">
        <v>57519</v>
      </c>
      <c r="H235" s="3">
        <v>57519</v>
      </c>
    </row>
    <row r="236" spans="1:8" ht="12" customHeight="1">
      <c r="A236" s="677" t="s">
        <v>1263</v>
      </c>
      <c r="B236" s="678">
        <v>3430</v>
      </c>
      <c r="C236" s="681"/>
      <c r="D236" s="681"/>
      <c r="E236" s="681"/>
      <c r="F236" s="681"/>
      <c r="H236" s="3">
        <v>0</v>
      </c>
    </row>
    <row r="237" spans="1:8" ht="12" customHeight="1">
      <c r="A237" s="677" t="s">
        <v>1263</v>
      </c>
      <c r="B237" s="678">
        <v>3431</v>
      </c>
      <c r="C237" s="681"/>
      <c r="D237" s="681"/>
      <c r="E237" s="681"/>
      <c r="F237" s="681"/>
      <c r="H237" s="3">
        <v>0</v>
      </c>
    </row>
    <row r="238" spans="1:8" ht="12" customHeight="1">
      <c r="A238" s="677" t="s">
        <v>1263</v>
      </c>
      <c r="B238" s="678">
        <v>3432</v>
      </c>
      <c r="C238" s="681"/>
      <c r="D238" s="681"/>
      <c r="E238" s="681"/>
      <c r="F238" s="681"/>
      <c r="G238" s="3">
        <v>2869</v>
      </c>
      <c r="H238" s="3">
        <v>2869</v>
      </c>
    </row>
    <row r="239" spans="1:8" ht="12" customHeight="1">
      <c r="A239" s="677" t="s">
        <v>1263</v>
      </c>
      <c r="B239" s="678">
        <v>3433</v>
      </c>
      <c r="C239" s="681"/>
      <c r="D239" s="681"/>
      <c r="E239" s="681"/>
      <c r="F239" s="681"/>
      <c r="H239" s="3">
        <v>0</v>
      </c>
    </row>
    <row r="240" spans="1:8" ht="12" customHeight="1">
      <c r="A240" s="677" t="s">
        <v>1263</v>
      </c>
      <c r="B240" s="678">
        <v>3444</v>
      </c>
      <c r="C240" s="681"/>
      <c r="D240" s="681"/>
      <c r="E240" s="681"/>
      <c r="F240" s="681"/>
      <c r="H240" s="3">
        <v>0</v>
      </c>
    </row>
    <row r="241" spans="1:8" ht="12" customHeight="1">
      <c r="A241" s="677" t="s">
        <v>1263</v>
      </c>
      <c r="B241" s="678">
        <v>3445</v>
      </c>
      <c r="C241" s="681"/>
      <c r="D241" s="681"/>
      <c r="E241" s="681"/>
      <c r="F241" s="681"/>
      <c r="H241" s="3">
        <v>0</v>
      </c>
    </row>
    <row r="242" spans="1:8" ht="12" customHeight="1">
      <c r="A242" s="677" t="s">
        <v>1263</v>
      </c>
      <c r="B242" s="678">
        <v>3446</v>
      </c>
      <c r="C242" s="681"/>
      <c r="D242" s="681"/>
      <c r="E242" s="681"/>
      <c r="F242" s="681"/>
      <c r="H242" s="3">
        <v>0</v>
      </c>
    </row>
    <row r="243" spans="1:8" ht="12" customHeight="1">
      <c r="A243" s="677" t="s">
        <v>1263</v>
      </c>
      <c r="B243" s="678">
        <v>3450</v>
      </c>
      <c r="C243" s="681">
        <v>1537717</v>
      </c>
      <c r="D243" s="681">
        <v>366583</v>
      </c>
      <c r="E243" s="681"/>
      <c r="F243" s="681"/>
      <c r="H243" s="3">
        <v>1904300</v>
      </c>
    </row>
    <row r="244" spans="1:8" ht="12" customHeight="1">
      <c r="A244" s="677" t="s">
        <v>1263</v>
      </c>
      <c r="B244" s="678">
        <v>3452</v>
      </c>
      <c r="C244" s="681"/>
      <c r="D244" s="681">
        <v>31454</v>
      </c>
      <c r="E244" s="681"/>
      <c r="F244" s="681"/>
      <c r="H244" s="3">
        <v>31454</v>
      </c>
    </row>
    <row r="245" spans="1:8" ht="12" customHeight="1">
      <c r="A245" s="677" t="s">
        <v>1263</v>
      </c>
      <c r="B245" s="678">
        <v>3453</v>
      </c>
      <c r="C245" s="681"/>
      <c r="D245" s="681"/>
      <c r="E245" s="681"/>
      <c r="F245" s="681"/>
      <c r="H245" s="3">
        <v>0</v>
      </c>
    </row>
    <row r="246" spans="1:8" ht="12" customHeight="1">
      <c r="A246" s="677" t="s">
        <v>1263</v>
      </c>
      <c r="B246" s="678">
        <v>3454</v>
      </c>
      <c r="C246" s="681"/>
      <c r="D246" s="681"/>
      <c r="E246" s="681"/>
      <c r="F246" s="681"/>
      <c r="H246" s="3">
        <v>0</v>
      </c>
    </row>
    <row r="247" spans="1:8" ht="12" customHeight="1">
      <c r="A247" s="677" t="s">
        <v>1263</v>
      </c>
      <c r="B247" s="678">
        <v>3455</v>
      </c>
      <c r="C247" s="681"/>
      <c r="D247" s="681"/>
      <c r="E247" s="681"/>
      <c r="F247" s="681"/>
      <c r="H247" s="3">
        <v>0</v>
      </c>
    </row>
    <row r="248" spans="1:8" ht="12" customHeight="1">
      <c r="A248" s="677" t="s">
        <v>1263</v>
      </c>
      <c r="B248" s="678">
        <v>3456</v>
      </c>
      <c r="C248" s="681"/>
      <c r="D248" s="681"/>
      <c r="E248" s="681"/>
      <c r="F248" s="681"/>
      <c r="H248" s="3">
        <v>0</v>
      </c>
    </row>
    <row r="249" spans="1:8" ht="12" customHeight="1">
      <c r="A249" s="677" t="s">
        <v>1263</v>
      </c>
      <c r="B249" s="678" t="s">
        <v>1103</v>
      </c>
      <c r="C249" s="681"/>
      <c r="D249" s="681"/>
      <c r="E249" s="681"/>
      <c r="F249" s="681"/>
      <c r="H249" s="3">
        <v>0</v>
      </c>
    </row>
    <row r="250" spans="1:8" ht="12" customHeight="1">
      <c r="A250" s="677" t="s">
        <v>1263</v>
      </c>
      <c r="B250" s="678">
        <v>3462</v>
      </c>
      <c r="C250" s="681"/>
      <c r="D250" s="681">
        <v>19540</v>
      </c>
      <c r="E250" s="681"/>
      <c r="F250" s="681"/>
      <c r="H250" s="3">
        <v>19540</v>
      </c>
    </row>
    <row r="251" spans="1:8" ht="12" customHeight="1">
      <c r="A251" s="677" t="s">
        <v>1263</v>
      </c>
      <c r="B251" s="678">
        <v>3463</v>
      </c>
      <c r="C251" s="681"/>
      <c r="D251" s="681"/>
      <c r="E251" s="681"/>
      <c r="F251" s="681"/>
      <c r="H251" s="3">
        <v>0</v>
      </c>
    </row>
    <row r="252" spans="1:8" ht="12" customHeight="1">
      <c r="A252" s="677" t="s">
        <v>1263</v>
      </c>
      <c r="B252" s="678">
        <v>3464</v>
      </c>
      <c r="C252" s="681"/>
      <c r="D252" s="681"/>
      <c r="E252" s="681"/>
      <c r="F252" s="681"/>
      <c r="H252" s="3">
        <v>0</v>
      </c>
    </row>
    <row r="253" spans="1:8" ht="12" customHeight="1">
      <c r="A253" s="677" t="s">
        <v>1263</v>
      </c>
      <c r="B253" s="678">
        <v>3467</v>
      </c>
      <c r="C253" s="681">
        <v>20368</v>
      </c>
      <c r="D253" s="681">
        <v>285</v>
      </c>
      <c r="E253" s="681"/>
      <c r="F253" s="681"/>
      <c r="H253" s="3">
        <v>20653</v>
      </c>
    </row>
    <row r="254" spans="1:8" ht="12" customHeight="1">
      <c r="A254" s="677" t="s">
        <v>1263</v>
      </c>
      <c r="B254" s="678">
        <v>3468</v>
      </c>
      <c r="C254" s="681"/>
      <c r="D254" s="681"/>
      <c r="E254" s="681"/>
      <c r="F254" s="681"/>
      <c r="H254" s="3">
        <v>0</v>
      </c>
    </row>
    <row r="255" spans="1:8" ht="12" customHeight="1">
      <c r="A255" s="677" t="s">
        <v>1263</v>
      </c>
      <c r="B255" s="678">
        <v>3473</v>
      </c>
      <c r="C255" s="681"/>
      <c r="D255" s="681">
        <v>192693</v>
      </c>
      <c r="E255" s="681"/>
      <c r="F255" s="681"/>
      <c r="H255" s="3">
        <v>192693</v>
      </c>
    </row>
    <row r="256" spans="1:8" ht="12" customHeight="1">
      <c r="A256" s="677" t="s">
        <v>1263</v>
      </c>
      <c r="B256" s="678">
        <v>3474</v>
      </c>
      <c r="C256" s="681"/>
      <c r="D256" s="681"/>
      <c r="E256" s="681"/>
      <c r="F256" s="681"/>
      <c r="H256" s="3">
        <v>0</v>
      </c>
    </row>
    <row r="257" spans="1:8" ht="12" customHeight="1">
      <c r="A257" s="677" t="s">
        <v>1263</v>
      </c>
      <c r="B257" s="678">
        <v>3476</v>
      </c>
      <c r="C257" s="681"/>
      <c r="D257" s="681"/>
      <c r="E257" s="681"/>
      <c r="F257" s="681"/>
      <c r="G257" s="3">
        <v>42574</v>
      </c>
      <c r="H257" s="3">
        <v>42574</v>
      </c>
    </row>
    <row r="258" spans="1:8" ht="12" customHeight="1">
      <c r="A258" s="677" t="s">
        <v>1263</v>
      </c>
      <c r="B258" s="678">
        <v>3477</v>
      </c>
      <c r="C258" s="681"/>
      <c r="D258" s="681"/>
      <c r="E258" s="681"/>
      <c r="F258" s="681"/>
      <c r="H258" s="3">
        <v>0</v>
      </c>
    </row>
    <row r="259" spans="1:8" ht="12" customHeight="1">
      <c r="A259" s="677" t="s">
        <v>1263</v>
      </c>
      <c r="B259" s="678">
        <v>3478</v>
      </c>
      <c r="C259" s="681"/>
      <c r="D259" s="681"/>
      <c r="E259" s="681"/>
      <c r="F259" s="681"/>
      <c r="H259" s="3">
        <v>0</v>
      </c>
    </row>
    <row r="260" spans="1:8" ht="12" customHeight="1">
      <c r="A260" s="677" t="s">
        <v>1263</v>
      </c>
      <c r="B260" s="678">
        <v>3481</v>
      </c>
      <c r="C260" s="681"/>
      <c r="D260" s="681"/>
      <c r="E260" s="681"/>
      <c r="F260" s="681"/>
      <c r="H260" s="3">
        <v>0</v>
      </c>
    </row>
    <row r="261" spans="1:8" ht="12" customHeight="1">
      <c r="A261" s="677" t="s">
        <v>1263</v>
      </c>
      <c r="B261" s="678">
        <v>3482</v>
      </c>
      <c r="C261" s="681"/>
      <c r="D261" s="681"/>
      <c r="E261" s="681"/>
      <c r="F261" s="681"/>
      <c r="H261" s="3">
        <v>0</v>
      </c>
    </row>
    <row r="262" spans="1:8" ht="12" customHeight="1">
      <c r="A262" s="677" t="s">
        <v>1263</v>
      </c>
      <c r="B262" s="678">
        <v>3485</v>
      </c>
      <c r="C262" s="681"/>
      <c r="D262" s="681"/>
      <c r="E262" s="681"/>
      <c r="F262" s="681"/>
      <c r="H262" s="3">
        <v>0</v>
      </c>
    </row>
    <row r="263" spans="1:8" ht="12" customHeight="1">
      <c r="A263" s="677" t="s">
        <v>1263</v>
      </c>
      <c r="B263" s="678">
        <v>3487</v>
      </c>
      <c r="C263" s="681"/>
      <c r="D263" s="681"/>
      <c r="E263" s="681"/>
      <c r="F263" s="681"/>
      <c r="H263" s="3">
        <v>0</v>
      </c>
    </row>
    <row r="264" spans="1:8" ht="12" customHeight="1">
      <c r="A264" s="677" t="s">
        <v>1263</v>
      </c>
      <c r="B264" s="678">
        <v>3488</v>
      </c>
      <c r="C264" s="681"/>
      <c r="D264" s="681"/>
      <c r="E264" s="681"/>
      <c r="F264" s="681"/>
      <c r="H264" s="3">
        <v>0</v>
      </c>
    </row>
    <row r="265" spans="1:8" ht="12" customHeight="1">
      <c r="A265" s="677" t="s">
        <v>1263</v>
      </c>
      <c r="B265" s="678">
        <v>3489</v>
      </c>
      <c r="C265" s="681"/>
      <c r="D265" s="681"/>
      <c r="E265" s="681"/>
      <c r="F265" s="681"/>
      <c r="H265" s="3">
        <v>0</v>
      </c>
    </row>
    <row r="266" spans="1:8" ht="12" customHeight="1">
      <c r="A266" s="677" t="s">
        <v>1263</v>
      </c>
      <c r="B266" s="678">
        <v>3490</v>
      </c>
      <c r="C266" s="681"/>
      <c r="D266" s="681"/>
      <c r="E266" s="681"/>
      <c r="F266" s="681"/>
      <c r="H266" s="3">
        <v>0</v>
      </c>
    </row>
    <row r="267" spans="1:8" ht="12" customHeight="1">
      <c r="A267" s="677" t="s">
        <v>1263</v>
      </c>
      <c r="B267" s="678">
        <v>3491</v>
      </c>
      <c r="C267" s="681"/>
      <c r="D267" s="681"/>
      <c r="E267" s="681"/>
      <c r="F267" s="681"/>
      <c r="H267" s="3">
        <v>0</v>
      </c>
    </row>
    <row r="268" spans="1:8" ht="12" customHeight="1">
      <c r="A268" s="677" t="s">
        <v>1263</v>
      </c>
      <c r="B268" s="678">
        <v>3492</v>
      </c>
      <c r="C268" s="681"/>
      <c r="D268" s="681"/>
      <c r="E268" s="681"/>
      <c r="F268" s="681"/>
      <c r="H268" s="3">
        <v>0</v>
      </c>
    </row>
    <row r="269" spans="1:8" ht="12" customHeight="1">
      <c r="A269" s="677" t="s">
        <v>1263</v>
      </c>
      <c r="B269" s="678">
        <v>3494</v>
      </c>
      <c r="C269" s="681"/>
      <c r="D269" s="681"/>
      <c r="E269" s="681"/>
      <c r="F269" s="681"/>
      <c r="H269" s="3">
        <v>0</v>
      </c>
    </row>
    <row r="270" spans="1:8" ht="12" customHeight="1">
      <c r="A270" s="677" t="s">
        <v>1263</v>
      </c>
      <c r="B270" s="678">
        <v>3495</v>
      </c>
      <c r="C270" s="681"/>
      <c r="D270" s="681"/>
      <c r="E270" s="681"/>
      <c r="F270" s="681"/>
      <c r="H270" s="3">
        <v>0</v>
      </c>
    </row>
    <row r="271" spans="1:8" ht="12" customHeight="1">
      <c r="A271" s="677" t="s">
        <v>1263</v>
      </c>
      <c r="B271" s="678">
        <v>3496</v>
      </c>
      <c r="C271" s="681"/>
      <c r="D271" s="681"/>
      <c r="E271" s="681"/>
      <c r="F271" s="681"/>
      <c r="H271" s="3">
        <v>0</v>
      </c>
    </row>
    <row r="272" spans="1:8" ht="12" customHeight="1">
      <c r="A272" s="677" t="s">
        <v>1263</v>
      </c>
      <c r="B272" s="678">
        <v>3497</v>
      </c>
      <c r="C272" s="681"/>
      <c r="D272" s="681"/>
      <c r="E272" s="681"/>
      <c r="F272" s="681"/>
      <c r="H272" s="3">
        <v>0</v>
      </c>
    </row>
    <row r="273" spans="1:8" ht="12" customHeight="1">
      <c r="A273" s="677" t="s">
        <v>1263</v>
      </c>
      <c r="B273" s="678">
        <v>3499</v>
      </c>
      <c r="C273" s="681"/>
      <c r="D273" s="681"/>
      <c r="E273" s="681"/>
      <c r="F273" s="681"/>
      <c r="H273" s="3">
        <v>0</v>
      </c>
    </row>
    <row r="274" spans="1:8" ht="12" customHeight="1">
      <c r="A274" s="677" t="s">
        <v>1263</v>
      </c>
      <c r="B274" s="678">
        <v>3501</v>
      </c>
      <c r="C274" s="681"/>
      <c r="D274" s="681"/>
      <c r="E274" s="681"/>
      <c r="F274" s="681"/>
      <c r="H274" s="3">
        <v>0</v>
      </c>
    </row>
    <row r="275" spans="1:8" ht="12" customHeight="1">
      <c r="A275" s="677" t="s">
        <v>1263</v>
      </c>
      <c r="B275" s="678">
        <v>3502</v>
      </c>
      <c r="C275" s="681"/>
      <c r="D275" s="681"/>
      <c r="E275" s="681"/>
      <c r="F275" s="681"/>
      <c r="H275" s="3">
        <v>0</v>
      </c>
    </row>
    <row r="276" spans="1:8" ht="12" customHeight="1">
      <c r="A276" s="677" t="s">
        <v>1263</v>
      </c>
      <c r="B276" s="678">
        <v>3503</v>
      </c>
      <c r="C276" s="681"/>
      <c r="D276" s="681"/>
      <c r="E276" s="681"/>
      <c r="F276" s="681"/>
      <c r="H276" s="3">
        <v>0</v>
      </c>
    </row>
    <row r="277" spans="1:8" ht="12" customHeight="1">
      <c r="A277" s="677" t="s">
        <v>1263</v>
      </c>
      <c r="B277" s="678">
        <v>3504</v>
      </c>
      <c r="C277" s="681"/>
      <c r="D277" s="681"/>
      <c r="E277" s="681"/>
      <c r="F277" s="681"/>
      <c r="H277" s="3">
        <v>0</v>
      </c>
    </row>
    <row r="278" spans="1:8" ht="12" customHeight="1">
      <c r="A278" s="677" t="s">
        <v>1263</v>
      </c>
      <c r="B278" s="678">
        <v>3506</v>
      </c>
      <c r="C278" s="681"/>
      <c r="D278" s="681"/>
      <c r="E278" s="681"/>
      <c r="F278" s="681"/>
      <c r="H278" s="3">
        <v>0</v>
      </c>
    </row>
    <row r="279" spans="1:8" ht="12" customHeight="1">
      <c r="A279" s="677" t="s">
        <v>1263</v>
      </c>
      <c r="B279" s="678">
        <v>3507</v>
      </c>
      <c r="C279" s="681"/>
      <c r="D279" s="681"/>
      <c r="E279" s="681"/>
      <c r="F279" s="681"/>
      <c r="H279" s="3">
        <v>0</v>
      </c>
    </row>
    <row r="280" spans="1:8" ht="12" customHeight="1">
      <c r="A280" s="677" t="s">
        <v>1263</v>
      </c>
      <c r="B280" s="678">
        <v>3508</v>
      </c>
      <c r="C280" s="681"/>
      <c r="D280" s="681"/>
      <c r="E280" s="681"/>
      <c r="F280" s="681"/>
      <c r="H280" s="3">
        <v>0</v>
      </c>
    </row>
    <row r="281" spans="1:8" ht="12" customHeight="1">
      <c r="A281" s="677" t="s">
        <v>1263</v>
      </c>
      <c r="B281" s="678">
        <v>3511</v>
      </c>
      <c r="C281" s="681"/>
      <c r="D281" s="681"/>
      <c r="E281" s="681"/>
      <c r="F281" s="681"/>
      <c r="H281" s="3">
        <v>0</v>
      </c>
    </row>
    <row r="282" spans="1:8" ht="12" customHeight="1">
      <c r="A282" s="677" t="s">
        <v>1263</v>
      </c>
      <c r="B282" s="678">
        <v>3514</v>
      </c>
      <c r="C282" s="681"/>
      <c r="D282" s="681"/>
      <c r="E282" s="681"/>
      <c r="F282" s="681"/>
      <c r="H282" s="3">
        <v>0</v>
      </c>
    </row>
    <row r="283" spans="1:8" ht="12" customHeight="1">
      <c r="A283" s="677" t="s">
        <v>1263</v>
      </c>
      <c r="B283" s="678">
        <v>3515</v>
      </c>
      <c r="C283" s="681">
        <v>11150</v>
      </c>
      <c r="D283" s="681">
        <v>2965</v>
      </c>
      <c r="E283" s="681"/>
      <c r="F283" s="681"/>
      <c r="H283" s="3">
        <v>14115</v>
      </c>
    </row>
    <row r="284" spans="1:8" ht="12" customHeight="1">
      <c r="A284" s="677" t="s">
        <v>1263</v>
      </c>
      <c r="B284" s="678">
        <v>3516</v>
      </c>
      <c r="C284" s="681"/>
      <c r="D284" s="681"/>
      <c r="E284" s="681"/>
      <c r="F284" s="681"/>
      <c r="H284" s="3">
        <v>0</v>
      </c>
    </row>
    <row r="285" spans="1:8" ht="12" customHeight="1">
      <c r="A285" s="677" t="s">
        <v>1263</v>
      </c>
      <c r="B285" s="678">
        <v>3524</v>
      </c>
      <c r="C285" s="681"/>
      <c r="D285" s="681"/>
      <c r="E285" s="681"/>
      <c r="F285" s="681"/>
      <c r="H285" s="3">
        <v>0</v>
      </c>
    </row>
    <row r="286" spans="1:8" ht="12" customHeight="1">
      <c r="A286" s="677" t="s">
        <v>1263</v>
      </c>
      <c r="B286" s="678">
        <v>3525</v>
      </c>
      <c r="C286" s="681">
        <v>2538</v>
      </c>
      <c r="D286" s="681"/>
      <c r="E286" s="681"/>
      <c r="F286" s="681"/>
      <c r="H286" s="3">
        <v>2538</v>
      </c>
    </row>
    <row r="287" spans="1:8" ht="12" customHeight="1">
      <c r="A287" s="677" t="s">
        <v>1263</v>
      </c>
      <c r="B287" s="678">
        <v>3526</v>
      </c>
      <c r="C287" s="681"/>
      <c r="D287" s="681"/>
      <c r="E287" s="681"/>
      <c r="F287" s="681"/>
      <c r="H287" s="3">
        <v>0</v>
      </c>
    </row>
    <row r="288" spans="1:8" ht="12" customHeight="1">
      <c r="A288" s="677" t="s">
        <v>1263</v>
      </c>
      <c r="B288" s="678">
        <v>3535</v>
      </c>
      <c r="C288" s="681">
        <v>8506</v>
      </c>
      <c r="D288" s="681"/>
      <c r="E288" s="681"/>
      <c r="F288" s="681"/>
      <c r="H288" s="3">
        <v>8506</v>
      </c>
    </row>
    <row r="289" spans="1:8" ht="12" customHeight="1">
      <c r="A289" s="677" t="s">
        <v>1263</v>
      </c>
      <c r="B289" s="678">
        <v>3540</v>
      </c>
      <c r="C289" s="681"/>
      <c r="D289" s="681"/>
      <c r="E289" s="681"/>
      <c r="F289" s="681"/>
      <c r="H289" s="3">
        <v>0</v>
      </c>
    </row>
    <row r="290" spans="1:8" ht="12" customHeight="1">
      <c r="A290" s="677" t="s">
        <v>1263</v>
      </c>
      <c r="B290" s="678">
        <v>3541</v>
      </c>
      <c r="C290" s="681"/>
      <c r="D290" s="681"/>
      <c r="E290" s="681"/>
      <c r="F290" s="681"/>
      <c r="H290" s="3">
        <v>0</v>
      </c>
    </row>
    <row r="291" spans="1:8" ht="12" customHeight="1">
      <c r="A291" s="677" t="s">
        <v>1263</v>
      </c>
      <c r="B291" s="678">
        <v>3542</v>
      </c>
      <c r="C291" s="681">
        <v>447.27</v>
      </c>
      <c r="D291" s="681"/>
      <c r="E291" s="681"/>
      <c r="F291" s="681"/>
      <c r="H291" s="3">
        <v>447</v>
      </c>
    </row>
    <row r="292" spans="1:8" ht="12" customHeight="1">
      <c r="A292" s="677" t="s">
        <v>1263</v>
      </c>
      <c r="B292" s="678">
        <v>3543</v>
      </c>
      <c r="C292" s="681"/>
      <c r="D292" s="681"/>
      <c r="E292" s="681"/>
      <c r="F292" s="681"/>
      <c r="H292" s="3">
        <v>0</v>
      </c>
    </row>
    <row r="293" spans="1:8" ht="12" customHeight="1">
      <c r="A293" s="677" t="s">
        <v>1263</v>
      </c>
      <c r="B293" s="678">
        <v>3545</v>
      </c>
      <c r="C293" s="681">
        <v>29252</v>
      </c>
      <c r="D293" s="681"/>
      <c r="E293" s="681"/>
      <c r="F293" s="681"/>
      <c r="H293" s="3">
        <v>29252</v>
      </c>
    </row>
    <row r="294" spans="1:8" ht="12" customHeight="1">
      <c r="A294" s="677" t="s">
        <v>1263</v>
      </c>
      <c r="B294" s="678">
        <v>3546</v>
      </c>
      <c r="C294" s="681"/>
      <c r="D294" s="681"/>
      <c r="E294" s="681"/>
      <c r="F294" s="681"/>
      <c r="H294" s="3">
        <v>0</v>
      </c>
    </row>
    <row r="295" spans="1:8" ht="12" customHeight="1">
      <c r="A295" s="677" t="s">
        <v>1263</v>
      </c>
      <c r="B295" s="678">
        <v>3547</v>
      </c>
      <c r="C295" s="681"/>
      <c r="D295" s="681"/>
      <c r="E295" s="681"/>
      <c r="F295" s="681"/>
      <c r="H295" s="3">
        <v>0</v>
      </c>
    </row>
    <row r="296" spans="1:8" ht="12" customHeight="1">
      <c r="A296" s="677" t="s">
        <v>1263</v>
      </c>
      <c r="B296" s="678">
        <v>3549</v>
      </c>
      <c r="C296" s="681"/>
      <c r="D296" s="681"/>
      <c r="E296" s="681"/>
      <c r="F296" s="681"/>
      <c r="H296" s="3">
        <v>0</v>
      </c>
    </row>
    <row r="297" spans="1:8" ht="12" customHeight="1">
      <c r="A297" s="677" t="s">
        <v>1263</v>
      </c>
      <c r="B297" s="678">
        <v>3550</v>
      </c>
      <c r="C297" s="681"/>
      <c r="D297" s="681"/>
      <c r="E297" s="681"/>
      <c r="F297" s="681"/>
      <c r="H297" s="3">
        <v>0</v>
      </c>
    </row>
    <row r="298" spans="1:8" ht="12" customHeight="1">
      <c r="A298" s="677" t="s">
        <v>1263</v>
      </c>
      <c r="B298" s="678">
        <v>3551</v>
      </c>
      <c r="C298" s="681"/>
      <c r="D298" s="681"/>
      <c r="E298" s="681"/>
      <c r="F298" s="681"/>
      <c r="H298" s="3">
        <v>0</v>
      </c>
    </row>
    <row r="299" spans="1:8" ht="12" customHeight="1">
      <c r="A299" s="677" t="s">
        <v>1263</v>
      </c>
      <c r="B299" s="678">
        <v>3553</v>
      </c>
      <c r="C299" s="681"/>
      <c r="D299" s="681"/>
      <c r="E299" s="681"/>
      <c r="F299" s="681"/>
      <c r="H299" s="3">
        <v>0</v>
      </c>
    </row>
    <row r="300" spans="1:8" ht="12" customHeight="1">
      <c r="A300" s="677" t="s">
        <v>1263</v>
      </c>
      <c r="B300" s="678">
        <v>3554</v>
      </c>
      <c r="C300" s="681"/>
      <c r="D300" s="681"/>
      <c r="E300" s="681"/>
      <c r="F300" s="681"/>
      <c r="H300" s="3">
        <v>0</v>
      </c>
    </row>
    <row r="301" spans="1:8" ht="12" customHeight="1">
      <c r="A301" s="677" t="s">
        <v>1263</v>
      </c>
      <c r="B301" s="678">
        <v>3555</v>
      </c>
      <c r="C301" s="681"/>
      <c r="D301" s="681"/>
      <c r="E301" s="681"/>
      <c r="F301" s="681"/>
      <c r="H301" s="3">
        <v>0</v>
      </c>
    </row>
    <row r="302" spans="1:8" ht="12" customHeight="1">
      <c r="A302" s="677" t="s">
        <v>1263</v>
      </c>
      <c r="B302" s="678">
        <v>3561</v>
      </c>
      <c r="C302" s="681">
        <v>68367</v>
      </c>
      <c r="D302" s="681">
        <v>17411</v>
      </c>
      <c r="E302" s="681"/>
      <c r="F302" s="681"/>
      <c r="H302" s="3">
        <v>85778</v>
      </c>
    </row>
    <row r="303" spans="1:8" ht="12" customHeight="1">
      <c r="A303" s="677" t="s">
        <v>1263</v>
      </c>
      <c r="B303" s="678">
        <v>3562</v>
      </c>
      <c r="C303" s="681"/>
      <c r="D303" s="681"/>
      <c r="E303" s="681"/>
      <c r="F303" s="681"/>
      <c r="H303" s="3">
        <v>0</v>
      </c>
    </row>
    <row r="304" spans="1:8" ht="12" customHeight="1">
      <c r="A304" s="677" t="s">
        <v>1263</v>
      </c>
      <c r="B304" s="678">
        <v>3563</v>
      </c>
      <c r="C304" s="681"/>
      <c r="D304" s="681"/>
      <c r="E304" s="681"/>
      <c r="F304" s="681"/>
      <c r="H304" s="3">
        <v>0</v>
      </c>
    </row>
    <row r="305" spans="1:8" ht="12" customHeight="1">
      <c r="A305" s="677" t="s">
        <v>1263</v>
      </c>
      <c r="B305" s="678">
        <v>3564</v>
      </c>
      <c r="C305" s="681"/>
      <c r="D305" s="681"/>
      <c r="E305" s="681"/>
      <c r="F305" s="681"/>
      <c r="H305" s="3">
        <v>0</v>
      </c>
    </row>
    <row r="306" spans="1:8" ht="12" customHeight="1">
      <c r="A306" s="677" t="s">
        <v>1263</v>
      </c>
      <c r="B306" s="678">
        <v>3565</v>
      </c>
      <c r="C306" s="681">
        <v>296</v>
      </c>
      <c r="D306" s="681">
        <v>54</v>
      </c>
      <c r="E306" s="681"/>
      <c r="F306" s="681"/>
      <c r="H306" s="3">
        <v>350</v>
      </c>
    </row>
    <row r="307" spans="1:8" ht="12" customHeight="1">
      <c r="A307" s="677" t="s">
        <v>1263</v>
      </c>
      <c r="B307" s="678">
        <v>3566</v>
      </c>
      <c r="C307" s="681"/>
      <c r="D307" s="681"/>
      <c r="E307" s="681"/>
      <c r="F307" s="681"/>
      <c r="H307" s="3">
        <v>0</v>
      </c>
    </row>
    <row r="308" spans="1:8" ht="12" customHeight="1">
      <c r="A308" s="677" t="s">
        <v>1263</v>
      </c>
      <c r="B308" s="678">
        <v>3571</v>
      </c>
      <c r="C308" s="681"/>
      <c r="D308" s="681"/>
      <c r="E308" s="681"/>
      <c r="F308" s="681"/>
      <c r="H308" s="3">
        <v>0</v>
      </c>
    </row>
    <row r="309" spans="1:8" ht="12" customHeight="1">
      <c r="A309" s="677" t="s">
        <v>1263</v>
      </c>
      <c r="B309" s="678">
        <v>3572</v>
      </c>
      <c r="C309" s="681"/>
      <c r="D309" s="681"/>
      <c r="E309" s="681"/>
      <c r="F309" s="681"/>
      <c r="H309" s="3">
        <v>0</v>
      </c>
    </row>
    <row r="310" spans="1:8" ht="12" customHeight="1">
      <c r="A310" s="677" t="s">
        <v>1263</v>
      </c>
      <c r="B310" s="678">
        <v>3573</v>
      </c>
      <c r="C310" s="681"/>
      <c r="D310" s="681"/>
      <c r="E310" s="681"/>
      <c r="F310" s="681"/>
      <c r="H310" s="3">
        <v>0</v>
      </c>
    </row>
    <row r="311" spans="1:8" ht="12" customHeight="1">
      <c r="A311" s="677" t="s">
        <v>1263</v>
      </c>
      <c r="B311" s="678">
        <v>3574</v>
      </c>
      <c r="C311" s="681"/>
      <c r="D311" s="681"/>
      <c r="E311" s="681"/>
      <c r="F311" s="681"/>
      <c r="H311" s="3">
        <v>0</v>
      </c>
    </row>
    <row r="312" spans="1:8" ht="12" customHeight="1">
      <c r="A312" s="677" t="s">
        <v>1263</v>
      </c>
      <c r="B312" s="678">
        <v>3575</v>
      </c>
      <c r="C312" s="681"/>
      <c r="D312" s="681"/>
      <c r="E312" s="681"/>
      <c r="F312" s="681"/>
      <c r="H312" s="3">
        <v>0</v>
      </c>
    </row>
    <row r="313" spans="1:8" ht="12" customHeight="1">
      <c r="A313" s="677" t="s">
        <v>1263</v>
      </c>
      <c r="B313" s="678">
        <v>3576</v>
      </c>
      <c r="C313" s="681"/>
      <c r="D313" s="681"/>
      <c r="E313" s="681"/>
      <c r="F313" s="681"/>
      <c r="H313" s="3">
        <v>0</v>
      </c>
    </row>
    <row r="314" spans="1:8" ht="12" customHeight="1">
      <c r="A314" s="677" t="s">
        <v>1263</v>
      </c>
      <c r="B314" s="678">
        <v>3581</v>
      </c>
      <c r="C314" s="681"/>
      <c r="D314" s="681">
        <v>81165</v>
      </c>
      <c r="E314" s="681"/>
      <c r="F314" s="681"/>
      <c r="H314" s="3">
        <v>81165</v>
      </c>
    </row>
    <row r="315" spans="1:8" ht="12" customHeight="1">
      <c r="A315" s="677" t="s">
        <v>1263</v>
      </c>
      <c r="B315" s="678">
        <v>3582</v>
      </c>
      <c r="C315" s="681"/>
      <c r="D315" s="681"/>
      <c r="E315" s="681"/>
      <c r="F315" s="681"/>
      <c r="H315" s="3">
        <v>0</v>
      </c>
    </row>
    <row r="316" spans="1:8" ht="12" customHeight="1">
      <c r="A316" s="677" t="s">
        <v>1263</v>
      </c>
      <c r="B316" s="682">
        <v>3583</v>
      </c>
      <c r="C316" s="681"/>
      <c r="D316" s="681"/>
      <c r="E316" s="681"/>
      <c r="F316" s="681"/>
      <c r="H316" s="3">
        <v>0</v>
      </c>
    </row>
    <row r="317" spans="1:8" ht="12" customHeight="1">
      <c r="A317" s="677" t="s">
        <v>1263</v>
      </c>
      <c r="B317" s="682">
        <v>3584</v>
      </c>
      <c r="C317" s="681"/>
      <c r="D317" s="681"/>
      <c r="E317" s="681"/>
      <c r="F317" s="681"/>
      <c r="H317" s="3">
        <v>0</v>
      </c>
    </row>
    <row r="318" spans="1:8" ht="12" customHeight="1">
      <c r="A318" s="677" t="s">
        <v>1263</v>
      </c>
      <c r="B318" s="682">
        <v>3585</v>
      </c>
      <c r="C318" s="681"/>
      <c r="D318" s="681"/>
      <c r="E318" s="681"/>
      <c r="F318" s="681"/>
      <c r="H318" s="3">
        <v>0</v>
      </c>
    </row>
    <row r="319" spans="1:8" ht="12" customHeight="1">
      <c r="A319" s="677" t="s">
        <v>1263</v>
      </c>
      <c r="B319" s="682">
        <v>3586</v>
      </c>
      <c r="C319" s="681"/>
      <c r="D319" s="681"/>
      <c r="E319" s="681"/>
      <c r="F319" s="681"/>
      <c r="H319" s="3">
        <v>0</v>
      </c>
    </row>
    <row r="320" spans="1:8" ht="12" customHeight="1">
      <c r="A320" s="677" t="s">
        <v>1264</v>
      </c>
      <c r="B320" s="682">
        <v>3401</v>
      </c>
      <c r="C320" s="681"/>
      <c r="D320" s="681"/>
      <c r="E320" s="681"/>
      <c r="F320" s="681"/>
      <c r="H320" s="3">
        <v>0</v>
      </c>
    </row>
    <row r="321" spans="1:8" ht="12" customHeight="1">
      <c r="A321" s="677" t="s">
        <v>1264</v>
      </c>
      <c r="B321" s="682">
        <v>3402</v>
      </c>
      <c r="C321" s="681"/>
      <c r="D321" s="681"/>
      <c r="E321" s="681"/>
      <c r="F321" s="681"/>
      <c r="H321" s="3">
        <v>0</v>
      </c>
    </row>
    <row r="322" spans="1:8" ht="12" customHeight="1">
      <c r="A322" s="677" t="s">
        <v>1264</v>
      </c>
      <c r="B322" s="682">
        <v>3403</v>
      </c>
      <c r="C322" s="681"/>
      <c r="D322" s="681"/>
      <c r="E322" s="681"/>
      <c r="F322" s="681"/>
      <c r="H322" s="3">
        <v>0</v>
      </c>
    </row>
    <row r="323" spans="1:8" ht="12" customHeight="1">
      <c r="A323" s="677" t="s">
        <v>1264</v>
      </c>
      <c r="B323" s="682">
        <v>3404</v>
      </c>
      <c r="C323" s="681"/>
      <c r="D323" s="681"/>
      <c r="E323" s="681"/>
      <c r="F323" s="681"/>
      <c r="H323" s="3">
        <v>0</v>
      </c>
    </row>
    <row r="324" spans="1:8" ht="12" customHeight="1">
      <c r="A324" s="677" t="s">
        <v>1264</v>
      </c>
      <c r="B324" s="682">
        <v>3405</v>
      </c>
      <c r="C324" s="681"/>
      <c r="D324" s="681"/>
      <c r="E324" s="681"/>
      <c r="F324" s="681"/>
      <c r="H324" s="3">
        <v>0</v>
      </c>
    </row>
    <row r="325" spans="1:8" ht="12" customHeight="1">
      <c r="A325" s="677" t="s">
        <v>1264</v>
      </c>
      <c r="B325" s="682">
        <v>3406</v>
      </c>
      <c r="C325" s="681"/>
      <c r="D325" s="681"/>
      <c r="E325" s="681"/>
      <c r="F325" s="681"/>
      <c r="H325" s="3">
        <v>0</v>
      </c>
    </row>
    <row r="326" spans="1:8" ht="12" customHeight="1">
      <c r="A326" s="677" t="s">
        <v>1264</v>
      </c>
      <c r="B326" s="682">
        <v>3411</v>
      </c>
      <c r="C326" s="681"/>
      <c r="D326" s="681"/>
      <c r="E326" s="681"/>
      <c r="F326" s="681"/>
      <c r="H326" s="3">
        <v>0</v>
      </c>
    </row>
    <row r="327" spans="1:8" ht="12" customHeight="1">
      <c r="A327" s="677" t="s">
        <v>1264</v>
      </c>
      <c r="B327" s="682">
        <v>3412</v>
      </c>
      <c r="C327" s="681"/>
      <c r="D327" s="681"/>
      <c r="E327" s="681"/>
      <c r="F327" s="681"/>
      <c r="H327" s="3">
        <v>0</v>
      </c>
    </row>
    <row r="328" spans="1:8" ht="12" customHeight="1">
      <c r="A328" s="677" t="s">
        <v>1264</v>
      </c>
      <c r="B328" s="682">
        <v>3413</v>
      </c>
      <c r="C328" s="681"/>
      <c r="D328" s="681"/>
      <c r="E328" s="681"/>
      <c r="F328" s="681"/>
      <c r="H328" s="3">
        <v>0</v>
      </c>
    </row>
    <row r="329" spans="1:8" ht="12" customHeight="1">
      <c r="A329" s="677" t="s">
        <v>1264</v>
      </c>
      <c r="B329" s="682">
        <v>3414</v>
      </c>
      <c r="C329" s="681"/>
      <c r="D329" s="681"/>
      <c r="E329" s="681"/>
      <c r="F329" s="681"/>
      <c r="H329" s="3">
        <v>0</v>
      </c>
    </row>
    <row r="330" spans="1:8" ht="12" customHeight="1">
      <c r="A330" s="677" t="s">
        <v>1264</v>
      </c>
      <c r="B330" s="682">
        <v>3415</v>
      </c>
      <c r="C330" s="681"/>
      <c r="D330" s="681"/>
      <c r="E330" s="681"/>
      <c r="F330" s="681"/>
      <c r="H330" s="3">
        <v>0</v>
      </c>
    </row>
    <row r="331" spans="1:8" ht="12" customHeight="1">
      <c r="A331" s="677" t="s">
        <v>1264</v>
      </c>
      <c r="B331" s="682">
        <v>3416</v>
      </c>
      <c r="C331" s="681"/>
      <c r="D331" s="681"/>
      <c r="E331" s="681"/>
      <c r="F331" s="681"/>
      <c r="H331" s="3">
        <v>0</v>
      </c>
    </row>
    <row r="332" spans="1:8" ht="12" customHeight="1">
      <c r="A332" s="677" t="s">
        <v>1264</v>
      </c>
      <c r="B332" s="682">
        <v>3421</v>
      </c>
      <c r="C332" s="681"/>
      <c r="D332" s="681"/>
      <c r="E332" s="681"/>
      <c r="F332" s="681"/>
      <c r="H332" s="3">
        <v>0</v>
      </c>
    </row>
    <row r="333" spans="1:8" ht="12" customHeight="1">
      <c r="A333" s="677" t="s">
        <v>1264</v>
      </c>
      <c r="B333" s="682">
        <v>3422</v>
      </c>
      <c r="C333" s="681"/>
      <c r="D333" s="681"/>
      <c r="E333" s="681"/>
      <c r="F333" s="681"/>
      <c r="H333" s="3">
        <v>0</v>
      </c>
    </row>
    <row r="334" spans="1:8" ht="12" customHeight="1">
      <c r="A334" s="677" t="s">
        <v>1264</v>
      </c>
      <c r="B334" s="682">
        <v>3423</v>
      </c>
      <c r="C334" s="681"/>
      <c r="D334" s="681"/>
      <c r="E334" s="681"/>
      <c r="F334" s="681"/>
      <c r="H334" s="3">
        <v>0</v>
      </c>
    </row>
    <row r="335" spans="1:8" ht="12" customHeight="1">
      <c r="A335" s="677" t="s">
        <v>1264</v>
      </c>
      <c r="B335" s="682">
        <v>3424</v>
      </c>
      <c r="C335" s="681"/>
      <c r="D335" s="681"/>
      <c r="E335" s="681"/>
      <c r="F335" s="681"/>
      <c r="H335" s="3">
        <v>0</v>
      </c>
    </row>
    <row r="336" spans="1:8" ht="12" customHeight="1">
      <c r="A336" s="677" t="s">
        <v>1264</v>
      </c>
      <c r="B336" s="682">
        <v>3425</v>
      </c>
      <c r="C336" s="681"/>
      <c r="D336" s="681"/>
      <c r="E336" s="681"/>
      <c r="F336" s="681"/>
      <c r="H336" s="3">
        <v>0</v>
      </c>
    </row>
    <row r="337" spans="1:8" ht="12" customHeight="1">
      <c r="A337" s="677" t="s">
        <v>1264</v>
      </c>
      <c r="B337" s="682">
        <v>3426</v>
      </c>
      <c r="C337" s="681"/>
      <c r="D337" s="681"/>
      <c r="E337" s="681"/>
      <c r="F337" s="681"/>
      <c r="H337" s="3">
        <v>0</v>
      </c>
    </row>
    <row r="338" spans="1:8" ht="12" customHeight="1">
      <c r="A338" s="677" t="s">
        <v>1264</v>
      </c>
      <c r="B338" s="682">
        <v>3428</v>
      </c>
      <c r="C338" s="681"/>
      <c r="D338" s="681"/>
      <c r="E338" s="681"/>
      <c r="F338" s="681"/>
      <c r="G338" s="3">
        <v>176938</v>
      </c>
      <c r="H338" s="3">
        <v>176938</v>
      </c>
    </row>
    <row r="339" spans="1:8" ht="12" customHeight="1">
      <c r="A339" s="677" t="s">
        <v>1264</v>
      </c>
      <c r="B339" s="682">
        <v>3429</v>
      </c>
      <c r="C339" s="681"/>
      <c r="D339" s="681"/>
      <c r="E339" s="681"/>
      <c r="F339" s="681"/>
      <c r="G339" s="3">
        <v>65220</v>
      </c>
      <c r="H339" s="3">
        <v>65220</v>
      </c>
    </row>
    <row r="340" spans="1:8" ht="12" customHeight="1">
      <c r="A340" s="677" t="s">
        <v>1264</v>
      </c>
      <c r="B340" s="682">
        <v>3430</v>
      </c>
      <c r="C340" s="681"/>
      <c r="D340" s="681"/>
      <c r="E340" s="681"/>
      <c r="F340" s="681"/>
      <c r="H340" s="3">
        <v>0</v>
      </c>
    </row>
    <row r="341" spans="1:8" ht="12" customHeight="1">
      <c r="A341" s="677" t="s">
        <v>1264</v>
      </c>
      <c r="B341" s="682">
        <v>3431</v>
      </c>
      <c r="C341" s="681"/>
      <c r="D341" s="681"/>
      <c r="E341" s="681"/>
      <c r="F341" s="681"/>
      <c r="H341" s="3">
        <v>0</v>
      </c>
    </row>
    <row r="342" spans="1:8" ht="12" customHeight="1">
      <c r="A342" s="677" t="s">
        <v>1264</v>
      </c>
      <c r="B342" s="682">
        <v>3432</v>
      </c>
      <c r="C342" s="681"/>
      <c r="D342" s="681"/>
      <c r="E342" s="681"/>
      <c r="F342" s="681"/>
      <c r="G342" s="3">
        <v>2444</v>
      </c>
      <c r="H342" s="3">
        <v>2444</v>
      </c>
    </row>
    <row r="343" spans="1:8" ht="12" customHeight="1">
      <c r="A343" s="677" t="s">
        <v>1264</v>
      </c>
      <c r="B343" s="682">
        <v>3433</v>
      </c>
      <c r="C343" s="681"/>
      <c r="D343" s="681"/>
      <c r="E343" s="681"/>
      <c r="F343" s="681"/>
      <c r="H343" s="3">
        <v>0</v>
      </c>
    </row>
    <row r="344" spans="1:8" ht="12" customHeight="1">
      <c r="A344" s="677" t="s">
        <v>1264</v>
      </c>
      <c r="B344" s="682">
        <v>3444</v>
      </c>
      <c r="C344" s="681"/>
      <c r="D344" s="681"/>
      <c r="E344" s="681"/>
      <c r="F344" s="681"/>
      <c r="H344" s="3">
        <v>0</v>
      </c>
    </row>
    <row r="345" spans="1:8" ht="12" customHeight="1">
      <c r="A345" s="677" t="s">
        <v>1264</v>
      </c>
      <c r="B345" s="682">
        <v>3445</v>
      </c>
      <c r="C345" s="681"/>
      <c r="D345" s="681"/>
      <c r="E345" s="681"/>
      <c r="F345" s="681"/>
      <c r="H345" s="3">
        <v>0</v>
      </c>
    </row>
    <row r="346" spans="1:8" ht="12" customHeight="1">
      <c r="A346" s="677" t="s">
        <v>1264</v>
      </c>
      <c r="B346" s="682">
        <v>3446</v>
      </c>
      <c r="C346" s="681"/>
      <c r="D346" s="681"/>
      <c r="E346" s="681"/>
      <c r="F346" s="681"/>
      <c r="H346" s="3">
        <v>0</v>
      </c>
    </row>
    <row r="347" spans="1:8" ht="12" customHeight="1">
      <c r="A347" s="677" t="s">
        <v>1264</v>
      </c>
      <c r="B347" s="682">
        <v>3450</v>
      </c>
      <c r="C347" s="681">
        <v>2043880</v>
      </c>
      <c r="D347" s="681">
        <v>437199</v>
      </c>
      <c r="E347" s="681"/>
      <c r="F347" s="681"/>
      <c r="H347" s="3">
        <v>2481079</v>
      </c>
    </row>
    <row r="348" spans="1:8" ht="12" customHeight="1">
      <c r="A348" s="677" t="s">
        <v>1264</v>
      </c>
      <c r="B348" s="682">
        <v>3452</v>
      </c>
      <c r="C348" s="681"/>
      <c r="D348" s="681">
        <v>15727</v>
      </c>
      <c r="E348" s="681"/>
      <c r="F348" s="681"/>
      <c r="H348" s="3">
        <v>15727</v>
      </c>
    </row>
    <row r="349" spans="1:8" ht="12" customHeight="1">
      <c r="A349" s="677" t="s">
        <v>1264</v>
      </c>
      <c r="B349" s="682">
        <v>3453</v>
      </c>
      <c r="C349" s="681"/>
      <c r="D349" s="681"/>
      <c r="E349" s="681"/>
      <c r="F349" s="681"/>
      <c r="H349" s="3">
        <v>0</v>
      </c>
    </row>
    <row r="350" spans="1:8" ht="12" customHeight="1">
      <c r="A350" s="677" t="s">
        <v>1264</v>
      </c>
      <c r="B350" s="682">
        <v>3454</v>
      </c>
      <c r="C350" s="681"/>
      <c r="D350" s="681"/>
      <c r="E350" s="681"/>
      <c r="F350" s="681"/>
      <c r="H350" s="3">
        <v>0</v>
      </c>
    </row>
    <row r="351" spans="1:8" ht="12" customHeight="1">
      <c r="A351" s="677" t="s">
        <v>1264</v>
      </c>
      <c r="B351" s="682">
        <v>3455</v>
      </c>
      <c r="C351" s="681"/>
      <c r="D351" s="681"/>
      <c r="E351" s="681"/>
      <c r="F351" s="681"/>
      <c r="H351" s="3">
        <v>0</v>
      </c>
    </row>
    <row r="352" spans="1:8" ht="12" customHeight="1">
      <c r="A352" s="677" t="s">
        <v>1264</v>
      </c>
      <c r="B352" s="682">
        <v>3456</v>
      </c>
      <c r="C352" s="681"/>
      <c r="D352" s="681"/>
      <c r="E352" s="681"/>
      <c r="F352" s="681"/>
      <c r="H352" s="3">
        <v>0</v>
      </c>
    </row>
    <row r="353" spans="1:8" ht="12" customHeight="1">
      <c r="A353" s="677" t="s">
        <v>1264</v>
      </c>
      <c r="B353" s="682" t="s">
        <v>1103</v>
      </c>
      <c r="C353" s="681"/>
      <c r="D353" s="681"/>
      <c r="E353" s="681"/>
      <c r="F353" s="681"/>
      <c r="H353" s="3">
        <v>0</v>
      </c>
    </row>
    <row r="354" spans="1:8" ht="12" customHeight="1">
      <c r="A354" s="677" t="s">
        <v>1264</v>
      </c>
      <c r="B354" s="682">
        <v>3462</v>
      </c>
      <c r="C354" s="681"/>
      <c r="D354" s="681"/>
      <c r="E354" s="681"/>
      <c r="F354" s="681"/>
      <c r="H354" s="3">
        <v>0</v>
      </c>
    </row>
    <row r="355" spans="1:8" ht="12" customHeight="1">
      <c r="A355" s="677" t="s">
        <v>1264</v>
      </c>
      <c r="B355" s="682">
        <v>3463</v>
      </c>
      <c r="C355" s="681"/>
      <c r="D355" s="681"/>
      <c r="E355" s="681"/>
      <c r="F355" s="681"/>
      <c r="H355" s="3">
        <v>0</v>
      </c>
    </row>
    <row r="356" spans="1:8" ht="12" customHeight="1">
      <c r="A356" s="677" t="s">
        <v>1264</v>
      </c>
      <c r="B356" s="682">
        <v>3464</v>
      </c>
      <c r="C356" s="681"/>
      <c r="D356" s="681"/>
      <c r="E356" s="681"/>
      <c r="F356" s="681"/>
      <c r="H356" s="3">
        <v>0</v>
      </c>
    </row>
    <row r="357" spans="1:8" ht="12" customHeight="1">
      <c r="A357" s="677" t="s">
        <v>1264</v>
      </c>
      <c r="B357" s="682">
        <v>3467</v>
      </c>
      <c r="C357" s="681">
        <v>32415</v>
      </c>
      <c r="D357" s="681">
        <v>10448</v>
      </c>
      <c r="E357" s="681"/>
      <c r="F357" s="681"/>
      <c r="H357" s="3">
        <v>42863</v>
      </c>
    </row>
    <row r="358" spans="1:8" ht="12" customHeight="1">
      <c r="A358" s="677" t="s">
        <v>1264</v>
      </c>
      <c r="B358" s="682">
        <v>3468</v>
      </c>
      <c r="C358" s="681"/>
      <c r="D358" s="681"/>
      <c r="E358" s="681"/>
      <c r="F358" s="681"/>
      <c r="H358" s="3">
        <v>0</v>
      </c>
    </row>
    <row r="359" spans="1:8" ht="12" customHeight="1">
      <c r="A359" s="677" t="s">
        <v>1264</v>
      </c>
      <c r="B359" s="682">
        <v>3473</v>
      </c>
      <c r="C359" s="681"/>
      <c r="D359" s="681">
        <v>260470</v>
      </c>
      <c r="E359" s="681"/>
      <c r="F359" s="681"/>
      <c r="H359" s="3">
        <v>260470</v>
      </c>
    </row>
    <row r="360" spans="1:8" ht="12" customHeight="1">
      <c r="A360" s="677" t="s">
        <v>1264</v>
      </c>
      <c r="B360" s="682">
        <v>3474</v>
      </c>
      <c r="C360" s="681"/>
      <c r="D360" s="681"/>
      <c r="E360" s="681"/>
      <c r="F360" s="681"/>
      <c r="H360" s="3">
        <v>0</v>
      </c>
    </row>
    <row r="361" spans="1:8" ht="12" customHeight="1">
      <c r="A361" s="677" t="s">
        <v>1264</v>
      </c>
      <c r="B361" s="682">
        <v>3476</v>
      </c>
      <c r="C361" s="681"/>
      <c r="D361" s="681"/>
      <c r="E361" s="681"/>
      <c r="F361" s="681"/>
      <c r="G361" s="3">
        <v>48484</v>
      </c>
      <c r="H361" s="3">
        <v>48484</v>
      </c>
    </row>
    <row r="362" spans="1:8" ht="12" customHeight="1">
      <c r="A362" s="677" t="s">
        <v>1264</v>
      </c>
      <c r="B362" s="682">
        <v>3477</v>
      </c>
      <c r="C362" s="681"/>
      <c r="D362" s="681"/>
      <c r="E362" s="681"/>
      <c r="F362" s="681"/>
      <c r="H362" s="3">
        <v>0</v>
      </c>
    </row>
    <row r="363" spans="1:8" ht="12" customHeight="1">
      <c r="A363" s="677" t="s">
        <v>1264</v>
      </c>
      <c r="B363" s="682">
        <v>3478</v>
      </c>
      <c r="C363" s="681"/>
      <c r="D363" s="681"/>
      <c r="E363" s="681"/>
      <c r="F363" s="681"/>
      <c r="H363" s="3">
        <v>0</v>
      </c>
    </row>
    <row r="364" spans="1:8" ht="12" customHeight="1">
      <c r="A364" s="677" t="s">
        <v>1264</v>
      </c>
      <c r="B364" s="682">
        <v>3481</v>
      </c>
      <c r="C364" s="681"/>
      <c r="D364" s="681"/>
      <c r="E364" s="681"/>
      <c r="F364" s="681"/>
      <c r="H364" s="3">
        <v>0</v>
      </c>
    </row>
    <row r="365" spans="1:8" ht="12" customHeight="1">
      <c r="A365" s="677" t="s">
        <v>1264</v>
      </c>
      <c r="B365" s="682">
        <v>3482</v>
      </c>
      <c r="C365" s="681"/>
      <c r="D365" s="681"/>
      <c r="E365" s="681"/>
      <c r="F365" s="681"/>
      <c r="H365" s="3">
        <v>0</v>
      </c>
    </row>
    <row r="366" spans="1:8" ht="12" customHeight="1">
      <c r="A366" s="677" t="s">
        <v>1264</v>
      </c>
      <c r="B366" s="682">
        <v>3485</v>
      </c>
      <c r="C366" s="681"/>
      <c r="D366" s="681"/>
      <c r="E366" s="681"/>
      <c r="F366" s="681"/>
      <c r="H366" s="3">
        <v>0</v>
      </c>
    </row>
    <row r="367" spans="1:8" ht="12" customHeight="1">
      <c r="A367" s="677" t="s">
        <v>1264</v>
      </c>
      <c r="B367" s="682">
        <v>3487</v>
      </c>
      <c r="C367" s="681"/>
      <c r="D367" s="681"/>
      <c r="E367" s="681"/>
      <c r="F367" s="681"/>
      <c r="H367" s="3">
        <v>0</v>
      </c>
    </row>
    <row r="368" spans="1:8" ht="12" customHeight="1">
      <c r="A368" s="677" t="s">
        <v>1264</v>
      </c>
      <c r="B368" s="682">
        <v>3488</v>
      </c>
      <c r="C368" s="681"/>
      <c r="D368" s="681"/>
      <c r="E368" s="681"/>
      <c r="F368" s="681"/>
      <c r="H368" s="3">
        <v>0</v>
      </c>
    </row>
    <row r="369" spans="1:8" ht="12" customHeight="1">
      <c r="A369" s="677" t="s">
        <v>1264</v>
      </c>
      <c r="B369" s="682">
        <v>3489</v>
      </c>
      <c r="C369" s="681"/>
      <c r="D369" s="681"/>
      <c r="E369" s="681"/>
      <c r="F369" s="681"/>
      <c r="H369" s="3">
        <v>0</v>
      </c>
    </row>
    <row r="370" spans="1:8" ht="12" customHeight="1">
      <c r="A370" s="677" t="s">
        <v>1264</v>
      </c>
      <c r="B370" s="682">
        <v>3490</v>
      </c>
      <c r="C370" s="681"/>
      <c r="D370" s="681"/>
      <c r="E370" s="681"/>
      <c r="F370" s="681"/>
      <c r="H370" s="3">
        <v>0</v>
      </c>
    </row>
    <row r="371" spans="1:8" ht="12" customHeight="1">
      <c r="A371" s="677" t="s">
        <v>1264</v>
      </c>
      <c r="B371" s="682">
        <v>3491</v>
      </c>
      <c r="C371" s="681"/>
      <c r="D371" s="681"/>
      <c r="E371" s="681"/>
      <c r="F371" s="681"/>
      <c r="H371" s="3">
        <v>0</v>
      </c>
    </row>
    <row r="372" spans="1:8" ht="12" customHeight="1">
      <c r="A372" s="677" t="s">
        <v>1264</v>
      </c>
      <c r="B372" s="682">
        <v>3492</v>
      </c>
      <c r="C372" s="681"/>
      <c r="D372" s="681"/>
      <c r="E372" s="681"/>
      <c r="F372" s="681"/>
      <c r="H372" s="3">
        <v>0</v>
      </c>
    </row>
    <row r="373" spans="1:8" ht="12" customHeight="1">
      <c r="A373" s="677" t="s">
        <v>1264</v>
      </c>
      <c r="B373" s="682">
        <v>3494</v>
      </c>
      <c r="C373" s="681"/>
      <c r="D373" s="681"/>
      <c r="E373" s="681"/>
      <c r="F373" s="681"/>
      <c r="H373" s="3">
        <v>0</v>
      </c>
    </row>
    <row r="374" spans="1:8" ht="12" customHeight="1">
      <c r="A374" s="677" t="s">
        <v>1264</v>
      </c>
      <c r="B374" s="682">
        <v>3495</v>
      </c>
      <c r="C374" s="681"/>
      <c r="D374" s="681"/>
      <c r="E374" s="681"/>
      <c r="F374" s="681"/>
      <c r="H374" s="3">
        <v>0</v>
      </c>
    </row>
    <row r="375" spans="1:8" ht="12" customHeight="1">
      <c r="A375" s="677" t="s">
        <v>1264</v>
      </c>
      <c r="B375" s="682">
        <v>3496</v>
      </c>
      <c r="C375" s="681"/>
      <c r="D375" s="681"/>
      <c r="E375" s="681"/>
      <c r="F375" s="681"/>
      <c r="H375" s="3">
        <v>0</v>
      </c>
    </row>
    <row r="376" spans="1:8" ht="12" customHeight="1">
      <c r="A376" s="677" t="s">
        <v>1264</v>
      </c>
      <c r="B376" s="682">
        <v>3497</v>
      </c>
      <c r="C376" s="681"/>
      <c r="D376" s="681"/>
      <c r="E376" s="681"/>
      <c r="F376" s="681"/>
      <c r="H376" s="3">
        <v>0</v>
      </c>
    </row>
    <row r="377" spans="1:8" ht="12" customHeight="1">
      <c r="A377" s="677" t="s">
        <v>1264</v>
      </c>
      <c r="B377" s="682">
        <v>3499</v>
      </c>
      <c r="C377" s="681"/>
      <c r="D377" s="681"/>
      <c r="E377" s="681"/>
      <c r="F377" s="681"/>
      <c r="H377" s="3">
        <v>0</v>
      </c>
    </row>
    <row r="378" spans="1:8" ht="12" customHeight="1">
      <c r="A378" s="677" t="s">
        <v>1264</v>
      </c>
      <c r="B378" s="682">
        <v>3501</v>
      </c>
      <c r="C378" s="681"/>
      <c r="D378" s="681"/>
      <c r="E378" s="681"/>
      <c r="F378" s="681"/>
      <c r="H378" s="3">
        <v>0</v>
      </c>
    </row>
    <row r="379" spans="1:8" ht="12" customHeight="1">
      <c r="A379" s="677" t="s">
        <v>1264</v>
      </c>
      <c r="B379" s="682">
        <v>3502</v>
      </c>
      <c r="C379" s="681"/>
      <c r="D379" s="681"/>
      <c r="E379" s="681"/>
      <c r="F379" s="681"/>
      <c r="H379" s="3">
        <v>0</v>
      </c>
    </row>
    <row r="380" spans="1:8" ht="12" customHeight="1">
      <c r="A380" s="677" t="s">
        <v>1264</v>
      </c>
      <c r="B380" s="682">
        <v>3503</v>
      </c>
      <c r="C380" s="681"/>
      <c r="D380" s="681"/>
      <c r="E380" s="681"/>
      <c r="F380" s="681"/>
      <c r="H380" s="3">
        <v>0</v>
      </c>
    </row>
    <row r="381" spans="1:8" ht="12" customHeight="1">
      <c r="A381" s="677" t="s">
        <v>1264</v>
      </c>
      <c r="B381" s="682">
        <v>3504</v>
      </c>
      <c r="C381" s="681"/>
      <c r="D381" s="681"/>
      <c r="E381" s="681"/>
      <c r="F381" s="681"/>
      <c r="H381" s="3">
        <v>0</v>
      </c>
    </row>
    <row r="382" spans="1:8" ht="12" customHeight="1">
      <c r="A382" s="677" t="s">
        <v>1264</v>
      </c>
      <c r="B382" s="682">
        <v>3506</v>
      </c>
      <c r="C382" s="681"/>
      <c r="D382" s="681"/>
      <c r="E382" s="681"/>
      <c r="F382" s="681"/>
      <c r="H382" s="3">
        <v>0</v>
      </c>
    </row>
    <row r="383" spans="1:8" ht="12" customHeight="1">
      <c r="A383" s="677" t="s">
        <v>1264</v>
      </c>
      <c r="B383" s="682">
        <v>3507</v>
      </c>
      <c r="C383" s="681"/>
      <c r="D383" s="681"/>
      <c r="E383" s="681"/>
      <c r="F383" s="681"/>
      <c r="H383" s="3">
        <v>0</v>
      </c>
    </row>
    <row r="384" spans="1:8" ht="12" customHeight="1">
      <c r="A384" s="677" t="s">
        <v>1264</v>
      </c>
      <c r="B384" s="682">
        <v>3508</v>
      </c>
      <c r="C384" s="681"/>
      <c r="D384" s="681"/>
      <c r="E384" s="681"/>
      <c r="F384" s="681"/>
      <c r="H384" s="3">
        <v>0</v>
      </c>
    </row>
    <row r="385" spans="1:8" ht="12" customHeight="1">
      <c r="A385" s="677" t="s">
        <v>1264</v>
      </c>
      <c r="B385" s="682">
        <v>3511</v>
      </c>
      <c r="C385" s="681"/>
      <c r="D385" s="681"/>
      <c r="E385" s="681"/>
      <c r="F385" s="681"/>
      <c r="H385" s="3">
        <v>0</v>
      </c>
    </row>
    <row r="386" spans="1:8" ht="12" customHeight="1">
      <c r="A386" s="677" t="s">
        <v>1264</v>
      </c>
      <c r="B386" s="682">
        <v>3514</v>
      </c>
      <c r="C386" s="681"/>
      <c r="D386" s="681"/>
      <c r="E386" s="681"/>
      <c r="F386" s="681"/>
      <c r="H386" s="3">
        <v>0</v>
      </c>
    </row>
    <row r="387" spans="1:8" ht="12" customHeight="1">
      <c r="A387" s="677" t="s">
        <v>1264</v>
      </c>
      <c r="B387" s="682">
        <v>3515</v>
      </c>
      <c r="C387" s="681">
        <v>15064</v>
      </c>
      <c r="D387" s="681">
        <v>2371</v>
      </c>
      <c r="E387" s="681"/>
      <c r="F387" s="681"/>
      <c r="H387" s="3">
        <v>17435</v>
      </c>
    </row>
    <row r="388" spans="1:8" ht="12" customHeight="1">
      <c r="A388" s="677" t="s">
        <v>1264</v>
      </c>
      <c r="B388" s="682">
        <v>3516</v>
      </c>
      <c r="C388" s="681"/>
      <c r="D388" s="681"/>
      <c r="E388" s="681"/>
      <c r="F388" s="681"/>
      <c r="H388" s="3">
        <v>0</v>
      </c>
    </row>
    <row r="389" spans="1:8" ht="12" customHeight="1">
      <c r="A389" s="677" t="s">
        <v>1264</v>
      </c>
      <c r="B389" s="682">
        <v>3524</v>
      </c>
      <c r="C389" s="681"/>
      <c r="D389" s="681"/>
      <c r="E389" s="681"/>
      <c r="F389" s="681"/>
      <c r="H389" s="3">
        <v>0</v>
      </c>
    </row>
    <row r="390" spans="1:8" ht="12" customHeight="1">
      <c r="A390" s="677" t="s">
        <v>1264</v>
      </c>
      <c r="B390" s="682">
        <v>3525</v>
      </c>
      <c r="C390" s="681">
        <v>7299</v>
      </c>
      <c r="D390" s="681"/>
      <c r="E390" s="681"/>
      <c r="F390" s="681"/>
      <c r="H390" s="3">
        <v>7299</v>
      </c>
    </row>
    <row r="391" spans="1:8" ht="12" customHeight="1">
      <c r="A391" s="677" t="s">
        <v>1264</v>
      </c>
      <c r="B391" s="682">
        <v>3526</v>
      </c>
      <c r="C391" s="681"/>
      <c r="D391" s="681"/>
      <c r="E391" s="681"/>
      <c r="F391" s="681"/>
      <c r="H391" s="3">
        <v>0</v>
      </c>
    </row>
    <row r="392" spans="1:8" ht="12" customHeight="1">
      <c r="A392" s="677" t="s">
        <v>1264</v>
      </c>
      <c r="B392" s="682">
        <v>3535</v>
      </c>
      <c r="C392" s="681">
        <v>6267</v>
      </c>
      <c r="D392" s="681"/>
      <c r="E392" s="681"/>
      <c r="F392" s="681"/>
      <c r="H392" s="3">
        <v>6267</v>
      </c>
    </row>
    <row r="393" spans="1:8" ht="12" customHeight="1">
      <c r="A393" s="677" t="s">
        <v>1264</v>
      </c>
      <c r="B393" s="682">
        <v>3540</v>
      </c>
      <c r="C393" s="681"/>
      <c r="D393" s="681"/>
      <c r="E393" s="681"/>
      <c r="F393" s="681"/>
      <c r="H393" s="3">
        <v>0</v>
      </c>
    </row>
    <row r="394" spans="1:8" ht="12" customHeight="1">
      <c r="A394" s="677" t="s">
        <v>1264</v>
      </c>
      <c r="B394" s="682">
        <v>3541</v>
      </c>
      <c r="C394" s="681"/>
      <c r="D394" s="681"/>
      <c r="E394" s="681"/>
      <c r="F394" s="681"/>
      <c r="H394" s="3">
        <v>0</v>
      </c>
    </row>
    <row r="395" spans="1:8" ht="12" customHeight="1">
      <c r="A395" s="677" t="s">
        <v>1264</v>
      </c>
      <c r="B395" s="682">
        <v>3542</v>
      </c>
      <c r="C395" s="681">
        <v>450</v>
      </c>
      <c r="D395" s="681"/>
      <c r="E395" s="681"/>
      <c r="F395" s="681"/>
      <c r="H395" s="3">
        <v>450</v>
      </c>
    </row>
    <row r="396" spans="1:8" ht="12" customHeight="1">
      <c r="A396" s="677" t="s">
        <v>1264</v>
      </c>
      <c r="B396" s="682">
        <v>3543</v>
      </c>
      <c r="C396" s="681">
        <v>3565</v>
      </c>
      <c r="D396" s="681"/>
      <c r="E396" s="681"/>
      <c r="F396" s="681"/>
      <c r="H396" s="3">
        <v>3565</v>
      </c>
    </row>
    <row r="397" spans="1:8" ht="12" customHeight="1">
      <c r="A397" s="677" t="s">
        <v>1264</v>
      </c>
      <c r="B397" s="682">
        <v>3545</v>
      </c>
      <c r="C397" s="681"/>
      <c r="D397" s="681"/>
      <c r="E397" s="681"/>
      <c r="F397" s="681"/>
      <c r="H397" s="3">
        <v>0</v>
      </c>
    </row>
    <row r="398" spans="1:8" ht="12" customHeight="1">
      <c r="A398" s="677" t="s">
        <v>1264</v>
      </c>
      <c r="B398" s="682">
        <v>3546</v>
      </c>
      <c r="C398" s="681"/>
      <c r="D398" s="681"/>
      <c r="E398" s="681"/>
      <c r="F398" s="681"/>
      <c r="H398" s="3">
        <v>0</v>
      </c>
    </row>
    <row r="399" spans="1:8" ht="12" customHeight="1">
      <c r="A399" s="677" t="s">
        <v>1264</v>
      </c>
      <c r="B399" s="682">
        <v>3547</v>
      </c>
      <c r="C399" s="681"/>
      <c r="D399" s="681"/>
      <c r="E399" s="681"/>
      <c r="F399" s="681"/>
      <c r="H399" s="3">
        <v>0</v>
      </c>
    </row>
    <row r="400" spans="1:8" ht="12" customHeight="1">
      <c r="A400" s="677" t="s">
        <v>1264</v>
      </c>
      <c r="B400" s="682">
        <v>3549</v>
      </c>
      <c r="C400" s="681"/>
      <c r="D400" s="681"/>
      <c r="E400" s="681"/>
      <c r="F400" s="681"/>
      <c r="H400" s="3">
        <v>0</v>
      </c>
    </row>
    <row r="401" spans="1:8" ht="12" customHeight="1">
      <c r="A401" s="677" t="s">
        <v>1264</v>
      </c>
      <c r="B401" s="682">
        <v>3550</v>
      </c>
      <c r="C401" s="681"/>
      <c r="D401" s="681"/>
      <c r="E401" s="681"/>
      <c r="F401" s="681"/>
      <c r="H401" s="3">
        <v>0</v>
      </c>
    </row>
    <row r="402" spans="1:8" ht="12" customHeight="1">
      <c r="A402" s="677" t="s">
        <v>1264</v>
      </c>
      <c r="B402" s="682">
        <v>3551</v>
      </c>
      <c r="C402" s="681"/>
      <c r="D402" s="681"/>
      <c r="E402" s="681"/>
      <c r="F402" s="681"/>
      <c r="H402" s="3">
        <v>0</v>
      </c>
    </row>
    <row r="403" spans="1:8" ht="12" customHeight="1">
      <c r="A403" s="677" t="s">
        <v>1264</v>
      </c>
      <c r="B403" s="682">
        <v>3553</v>
      </c>
      <c r="C403" s="681"/>
      <c r="D403" s="681"/>
      <c r="E403" s="681"/>
      <c r="F403" s="681"/>
      <c r="H403" s="3">
        <v>0</v>
      </c>
    </row>
    <row r="404" spans="1:8" ht="12" customHeight="1">
      <c r="A404" s="677" t="s">
        <v>1264</v>
      </c>
      <c r="B404" s="682">
        <v>3554</v>
      </c>
      <c r="C404" s="681"/>
      <c r="D404" s="681"/>
      <c r="E404" s="681"/>
      <c r="F404" s="681"/>
      <c r="H404" s="3">
        <v>0</v>
      </c>
    </row>
    <row r="405" spans="1:8" ht="12" customHeight="1">
      <c r="A405" s="677" t="s">
        <v>1264</v>
      </c>
      <c r="B405" s="682">
        <v>3555</v>
      </c>
      <c r="C405" s="681"/>
      <c r="D405" s="681"/>
      <c r="E405" s="681"/>
      <c r="F405" s="681"/>
      <c r="H405" s="3">
        <v>0</v>
      </c>
    </row>
    <row r="406" spans="1:8" ht="12" customHeight="1">
      <c r="A406" s="677" t="s">
        <v>1264</v>
      </c>
      <c r="B406" s="682">
        <v>3561</v>
      </c>
      <c r="C406" s="681">
        <v>67488</v>
      </c>
      <c r="D406" s="681">
        <v>18283</v>
      </c>
      <c r="E406" s="681"/>
      <c r="F406" s="681"/>
      <c r="H406" s="3">
        <v>85771</v>
      </c>
    </row>
    <row r="407" spans="1:8" ht="12" customHeight="1">
      <c r="A407" s="677" t="s">
        <v>1264</v>
      </c>
      <c r="B407" s="682">
        <v>3562</v>
      </c>
      <c r="C407" s="681"/>
      <c r="D407" s="681"/>
      <c r="E407" s="681"/>
      <c r="F407" s="681"/>
      <c r="H407" s="3">
        <v>0</v>
      </c>
    </row>
    <row r="408" spans="1:8" ht="12" customHeight="1">
      <c r="A408" s="677" t="s">
        <v>1264</v>
      </c>
      <c r="B408" s="682">
        <v>3563</v>
      </c>
      <c r="C408" s="681"/>
      <c r="D408" s="681"/>
      <c r="E408" s="681"/>
      <c r="F408" s="681"/>
      <c r="H408" s="3">
        <v>0</v>
      </c>
    </row>
    <row r="409" spans="1:8" ht="12" customHeight="1">
      <c r="A409" s="677" t="s">
        <v>1264</v>
      </c>
      <c r="B409" s="682">
        <v>3564</v>
      </c>
      <c r="C409" s="681"/>
      <c r="D409" s="681"/>
      <c r="E409" s="681"/>
      <c r="F409" s="681"/>
      <c r="H409" s="3">
        <v>0</v>
      </c>
    </row>
    <row r="410" spans="1:8" ht="12" customHeight="1">
      <c r="A410" s="677" t="s">
        <v>1264</v>
      </c>
      <c r="B410" s="682">
        <v>3565</v>
      </c>
      <c r="C410" s="681">
        <v>669</v>
      </c>
      <c r="D410" s="681">
        <v>131</v>
      </c>
      <c r="E410" s="681"/>
      <c r="F410" s="681"/>
      <c r="H410" s="3">
        <v>800</v>
      </c>
    </row>
    <row r="411" spans="1:8" ht="12" customHeight="1">
      <c r="A411" s="677" t="s">
        <v>1264</v>
      </c>
      <c r="B411" s="682">
        <v>3566</v>
      </c>
      <c r="C411" s="681"/>
      <c r="D411" s="681"/>
      <c r="E411" s="681"/>
      <c r="F411" s="681"/>
      <c r="H411" s="3">
        <v>0</v>
      </c>
    </row>
    <row r="412" spans="1:8" ht="12" customHeight="1">
      <c r="A412" s="677" t="s">
        <v>1264</v>
      </c>
      <c r="B412" s="682">
        <v>3571</v>
      </c>
      <c r="C412" s="681"/>
      <c r="D412" s="681"/>
      <c r="E412" s="681"/>
      <c r="F412" s="681"/>
      <c r="H412" s="3">
        <v>0</v>
      </c>
    </row>
    <row r="413" spans="1:8" ht="12" customHeight="1">
      <c r="A413" s="677" t="s">
        <v>1264</v>
      </c>
      <c r="B413" s="682">
        <v>3572</v>
      </c>
      <c r="C413" s="681"/>
      <c r="D413" s="681"/>
      <c r="E413" s="681"/>
      <c r="F413" s="681"/>
      <c r="H413" s="3">
        <v>0</v>
      </c>
    </row>
    <row r="414" spans="1:8" ht="12" customHeight="1">
      <c r="A414" s="677" t="s">
        <v>1264</v>
      </c>
      <c r="B414" s="682">
        <v>3573</v>
      </c>
      <c r="C414" s="681"/>
      <c r="D414" s="681"/>
      <c r="E414" s="681"/>
      <c r="F414" s="681"/>
      <c r="H414" s="3">
        <v>0</v>
      </c>
    </row>
    <row r="415" spans="1:8" ht="12" customHeight="1">
      <c r="A415" s="677" t="s">
        <v>1264</v>
      </c>
      <c r="B415" s="682">
        <v>3574</v>
      </c>
      <c r="C415" s="681"/>
      <c r="D415" s="681"/>
      <c r="E415" s="681"/>
      <c r="F415" s="681"/>
      <c r="H415" s="3">
        <v>0</v>
      </c>
    </row>
    <row r="416" spans="1:8" ht="12" customHeight="1">
      <c r="A416" s="677" t="s">
        <v>1264</v>
      </c>
      <c r="B416" s="682">
        <v>3575</v>
      </c>
      <c r="C416" s="681"/>
      <c r="D416" s="681"/>
      <c r="E416" s="681"/>
      <c r="F416" s="681"/>
      <c r="H416" s="3">
        <v>0</v>
      </c>
    </row>
    <row r="417" spans="1:8" ht="12" customHeight="1">
      <c r="A417" s="677" t="s">
        <v>1264</v>
      </c>
      <c r="B417" s="682">
        <v>3576</v>
      </c>
      <c r="C417" s="681"/>
      <c r="D417" s="681"/>
      <c r="E417" s="681"/>
      <c r="F417" s="681"/>
      <c r="H417" s="3">
        <v>0</v>
      </c>
    </row>
    <row r="418" spans="1:8" ht="12" customHeight="1">
      <c r="A418" s="677" t="s">
        <v>1264</v>
      </c>
      <c r="B418" s="682">
        <v>3581</v>
      </c>
      <c r="C418" s="681"/>
      <c r="D418" s="681">
        <v>41723</v>
      </c>
      <c r="E418" s="681"/>
      <c r="F418" s="681"/>
      <c r="H418" s="3">
        <v>41723</v>
      </c>
    </row>
    <row r="419" spans="1:8" ht="12" customHeight="1">
      <c r="A419" s="677" t="s">
        <v>1264</v>
      </c>
      <c r="B419" s="682">
        <v>3582</v>
      </c>
      <c r="C419" s="681"/>
      <c r="D419" s="681"/>
      <c r="E419" s="681"/>
      <c r="F419" s="681"/>
      <c r="H419" s="3">
        <v>0</v>
      </c>
    </row>
    <row r="420" spans="1:8" ht="12" customHeight="1">
      <c r="A420" s="677" t="s">
        <v>1264</v>
      </c>
      <c r="B420" s="682">
        <v>3583</v>
      </c>
      <c r="C420" s="681"/>
      <c r="D420" s="681"/>
      <c r="E420" s="681"/>
      <c r="F420" s="681"/>
      <c r="H420" s="3">
        <v>0</v>
      </c>
    </row>
    <row r="421" spans="1:8" ht="12" customHeight="1">
      <c r="A421" s="677" t="s">
        <v>1264</v>
      </c>
      <c r="B421" s="682">
        <v>3584</v>
      </c>
      <c r="C421" s="681"/>
      <c r="D421" s="681"/>
      <c r="E421" s="681"/>
      <c r="F421" s="681"/>
      <c r="H421" s="3">
        <v>0</v>
      </c>
    </row>
    <row r="422" spans="1:8" ht="12" customHeight="1">
      <c r="A422" s="677" t="s">
        <v>1264</v>
      </c>
      <c r="B422" s="682">
        <v>3585</v>
      </c>
      <c r="C422" s="681"/>
      <c r="D422" s="681"/>
      <c r="E422" s="681"/>
      <c r="F422" s="681"/>
      <c r="H422" s="3">
        <v>0</v>
      </c>
    </row>
    <row r="423" spans="1:8" ht="12" customHeight="1">
      <c r="A423" s="677" t="s">
        <v>1264</v>
      </c>
      <c r="B423" s="682">
        <v>3586</v>
      </c>
      <c r="C423" s="681"/>
      <c r="D423" s="681"/>
      <c r="E423" s="681"/>
      <c r="F423" s="681"/>
      <c r="H423" s="3">
        <v>0</v>
      </c>
    </row>
    <row r="424" spans="1:8" ht="12" customHeight="1">
      <c r="A424" s="677" t="s">
        <v>1265</v>
      </c>
      <c r="B424" s="682">
        <v>3401</v>
      </c>
      <c r="C424" s="681"/>
      <c r="D424" s="681"/>
      <c r="E424" s="681"/>
      <c r="F424" s="681"/>
      <c r="H424" s="3">
        <v>0</v>
      </c>
    </row>
    <row r="425" spans="1:8" ht="12" customHeight="1">
      <c r="A425" s="677" t="s">
        <v>1265</v>
      </c>
      <c r="B425" s="682">
        <v>3402</v>
      </c>
      <c r="C425" s="681"/>
      <c r="D425" s="681"/>
      <c r="E425" s="681"/>
      <c r="F425" s="681"/>
      <c r="H425" s="3">
        <v>0</v>
      </c>
    </row>
    <row r="426" spans="1:8" ht="12" customHeight="1">
      <c r="A426" s="677" t="s">
        <v>1265</v>
      </c>
      <c r="B426" s="682">
        <v>3403</v>
      </c>
      <c r="C426" s="681"/>
      <c r="D426" s="681"/>
      <c r="E426" s="681"/>
      <c r="F426" s="681"/>
      <c r="H426" s="3">
        <v>0</v>
      </c>
    </row>
    <row r="427" spans="1:8" ht="12" customHeight="1">
      <c r="A427" s="677" t="s">
        <v>1265</v>
      </c>
      <c r="B427" s="682">
        <v>3404</v>
      </c>
      <c r="C427" s="681"/>
      <c r="D427" s="681"/>
      <c r="E427" s="681"/>
      <c r="F427" s="681"/>
      <c r="H427" s="3">
        <v>0</v>
      </c>
    </row>
    <row r="428" spans="1:8" ht="12" customHeight="1">
      <c r="A428" s="677" t="s">
        <v>1265</v>
      </c>
      <c r="B428" s="682">
        <v>3405</v>
      </c>
      <c r="C428" s="681"/>
      <c r="D428" s="681"/>
      <c r="E428" s="681"/>
      <c r="F428" s="681"/>
      <c r="H428" s="3">
        <v>0</v>
      </c>
    </row>
    <row r="429" spans="1:8" ht="12" customHeight="1">
      <c r="A429" s="677" t="s">
        <v>1265</v>
      </c>
      <c r="B429" s="682">
        <v>3406</v>
      </c>
      <c r="C429" s="681"/>
      <c r="D429" s="681"/>
      <c r="E429" s="681"/>
      <c r="F429" s="681"/>
      <c r="H429" s="3">
        <v>0</v>
      </c>
    </row>
    <row r="430" spans="1:8" ht="12" customHeight="1">
      <c r="A430" s="677" t="s">
        <v>1265</v>
      </c>
      <c r="B430" s="682">
        <v>3411</v>
      </c>
      <c r="C430" s="681"/>
      <c r="D430" s="681"/>
      <c r="E430" s="681"/>
      <c r="F430" s="681"/>
      <c r="H430" s="3">
        <v>0</v>
      </c>
    </row>
    <row r="431" spans="1:8" ht="12" customHeight="1">
      <c r="A431" s="677" t="s">
        <v>1265</v>
      </c>
      <c r="B431" s="682">
        <v>3412</v>
      </c>
      <c r="C431" s="681"/>
      <c r="D431" s="681"/>
      <c r="E431" s="681"/>
      <c r="F431" s="681"/>
      <c r="H431" s="3">
        <v>0</v>
      </c>
    </row>
    <row r="432" spans="1:8" ht="12" customHeight="1">
      <c r="A432" s="677" t="s">
        <v>1265</v>
      </c>
      <c r="B432" s="682">
        <v>3413</v>
      </c>
      <c r="C432" s="681"/>
      <c r="D432" s="681"/>
      <c r="E432" s="681"/>
      <c r="F432" s="681"/>
      <c r="H432" s="3">
        <v>0</v>
      </c>
    </row>
    <row r="433" spans="1:8" ht="12" customHeight="1">
      <c r="A433" s="677" t="s">
        <v>1265</v>
      </c>
      <c r="B433" s="682">
        <v>3414</v>
      </c>
      <c r="C433" s="681"/>
      <c r="D433" s="681"/>
      <c r="E433" s="681"/>
      <c r="F433" s="681"/>
      <c r="H433" s="3">
        <v>0</v>
      </c>
    </row>
    <row r="434" spans="1:8" ht="12" customHeight="1">
      <c r="A434" s="677" t="s">
        <v>1265</v>
      </c>
      <c r="B434" s="682">
        <v>3415</v>
      </c>
      <c r="C434" s="681"/>
      <c r="D434" s="681"/>
      <c r="E434" s="681"/>
      <c r="F434" s="681"/>
      <c r="H434" s="3">
        <v>0</v>
      </c>
    </row>
    <row r="435" spans="1:8" ht="12" customHeight="1">
      <c r="A435" s="677" t="s">
        <v>1265</v>
      </c>
      <c r="B435" s="682">
        <v>3416</v>
      </c>
      <c r="C435" s="681"/>
      <c r="D435" s="681"/>
      <c r="E435" s="681"/>
      <c r="F435" s="681"/>
      <c r="H435" s="3">
        <v>0</v>
      </c>
    </row>
    <row r="436" spans="1:8" ht="12" customHeight="1">
      <c r="A436" s="677" t="s">
        <v>1265</v>
      </c>
      <c r="B436" s="682">
        <v>3421</v>
      </c>
      <c r="C436" s="681"/>
      <c r="D436" s="681"/>
      <c r="E436" s="681"/>
      <c r="F436" s="681"/>
      <c r="H436" s="3">
        <v>0</v>
      </c>
    </row>
    <row r="437" spans="1:8" ht="12" customHeight="1">
      <c r="A437" s="677" t="s">
        <v>1265</v>
      </c>
      <c r="B437" s="682">
        <v>3422</v>
      </c>
      <c r="C437" s="681"/>
      <c r="D437" s="681"/>
      <c r="E437" s="681"/>
      <c r="F437" s="681"/>
      <c r="H437" s="3">
        <v>0</v>
      </c>
    </row>
    <row r="438" spans="1:8" ht="12" customHeight="1">
      <c r="A438" s="677" t="s">
        <v>1265</v>
      </c>
      <c r="B438" s="682">
        <v>3423</v>
      </c>
      <c r="C438" s="681"/>
      <c r="D438" s="681"/>
      <c r="E438" s="681"/>
      <c r="F438" s="681"/>
      <c r="H438" s="3">
        <v>0</v>
      </c>
    </row>
    <row r="439" spans="1:8" ht="12" customHeight="1">
      <c r="A439" s="677" t="s">
        <v>1265</v>
      </c>
      <c r="B439" s="682">
        <v>3424</v>
      </c>
      <c r="C439" s="681"/>
      <c r="D439" s="681"/>
      <c r="E439" s="681"/>
      <c r="F439" s="681"/>
      <c r="H439" s="3">
        <v>0</v>
      </c>
    </row>
    <row r="440" spans="1:8" ht="12" customHeight="1">
      <c r="A440" s="677" t="s">
        <v>1265</v>
      </c>
      <c r="B440" s="682">
        <v>3425</v>
      </c>
      <c r="C440" s="681"/>
      <c r="D440" s="681"/>
      <c r="E440" s="681"/>
      <c r="F440" s="681"/>
      <c r="H440" s="3">
        <v>0</v>
      </c>
    </row>
    <row r="441" spans="1:8" ht="12" customHeight="1">
      <c r="A441" s="677" t="s">
        <v>1265</v>
      </c>
      <c r="B441" s="682">
        <v>3426</v>
      </c>
      <c r="C441" s="681"/>
      <c r="D441" s="681"/>
      <c r="E441" s="681"/>
      <c r="F441" s="681"/>
      <c r="H441" s="3">
        <v>0</v>
      </c>
    </row>
    <row r="442" spans="1:8" ht="12" customHeight="1">
      <c r="A442" s="677" t="s">
        <v>1265</v>
      </c>
      <c r="B442" s="682">
        <v>3428</v>
      </c>
      <c r="C442" s="681"/>
      <c r="D442" s="681"/>
      <c r="E442" s="681"/>
      <c r="F442" s="681"/>
      <c r="G442" s="3">
        <v>268298</v>
      </c>
      <c r="H442" s="3">
        <v>268298</v>
      </c>
    </row>
    <row r="443" spans="1:8" ht="12" customHeight="1">
      <c r="A443" s="677" t="s">
        <v>1265</v>
      </c>
      <c r="B443" s="682">
        <v>3429</v>
      </c>
      <c r="C443" s="681"/>
      <c r="D443" s="681"/>
      <c r="E443" s="681"/>
      <c r="F443" s="681"/>
      <c r="G443" s="3">
        <v>65537</v>
      </c>
      <c r="H443" s="3">
        <v>65537</v>
      </c>
    </row>
    <row r="444" spans="1:8" ht="12" customHeight="1">
      <c r="A444" s="677" t="s">
        <v>1265</v>
      </c>
      <c r="B444" s="682">
        <v>3430</v>
      </c>
      <c r="C444" s="681"/>
      <c r="D444" s="681"/>
      <c r="E444" s="681"/>
      <c r="F444" s="681"/>
      <c r="H444" s="3">
        <v>0</v>
      </c>
    </row>
    <row r="445" spans="1:8" ht="12" customHeight="1">
      <c r="A445" s="677" t="s">
        <v>1265</v>
      </c>
      <c r="B445" s="682">
        <v>3431</v>
      </c>
      <c r="C445" s="681"/>
      <c r="D445" s="681"/>
      <c r="E445" s="681"/>
      <c r="F445" s="681"/>
      <c r="G445" s="3">
        <v>7935</v>
      </c>
      <c r="H445" s="3">
        <v>7935</v>
      </c>
    </row>
    <row r="446" spans="1:8" ht="12" customHeight="1">
      <c r="A446" s="677" t="s">
        <v>1265</v>
      </c>
      <c r="B446" s="682">
        <v>3432</v>
      </c>
      <c r="C446" s="681"/>
      <c r="D446" s="681"/>
      <c r="E446" s="681"/>
      <c r="F446" s="681"/>
      <c r="G446" s="3">
        <v>4855</v>
      </c>
      <c r="H446" s="3">
        <v>4855</v>
      </c>
    </row>
    <row r="447" spans="1:8" ht="12" customHeight="1">
      <c r="A447" s="677" t="s">
        <v>1265</v>
      </c>
      <c r="B447" s="682">
        <v>3433</v>
      </c>
      <c r="C447" s="681"/>
      <c r="D447" s="681"/>
      <c r="E447" s="681"/>
      <c r="F447" s="681"/>
      <c r="H447" s="3">
        <v>0</v>
      </c>
    </row>
    <row r="448" spans="1:8" ht="12" customHeight="1">
      <c r="A448" s="677" t="s">
        <v>1265</v>
      </c>
      <c r="B448" s="682">
        <v>3444</v>
      </c>
      <c r="C448" s="681"/>
      <c r="D448" s="681"/>
      <c r="E448" s="681"/>
      <c r="F448" s="681"/>
      <c r="H448" s="3">
        <v>0</v>
      </c>
    </row>
    <row r="449" spans="1:8" ht="12" customHeight="1">
      <c r="A449" s="677" t="s">
        <v>1265</v>
      </c>
      <c r="B449" s="682">
        <v>3445</v>
      </c>
      <c r="C449" s="681"/>
      <c r="D449" s="681"/>
      <c r="E449" s="681"/>
      <c r="F449" s="681"/>
      <c r="H449" s="3">
        <v>0</v>
      </c>
    </row>
    <row r="450" spans="1:8" ht="12" customHeight="1">
      <c r="A450" s="677" t="s">
        <v>1265</v>
      </c>
      <c r="B450" s="682">
        <v>3446</v>
      </c>
      <c r="C450" s="681"/>
      <c r="D450" s="681"/>
      <c r="E450" s="681"/>
      <c r="F450" s="681"/>
      <c r="H450" s="3">
        <v>0</v>
      </c>
    </row>
    <row r="451" spans="1:8" ht="12" customHeight="1">
      <c r="A451" s="677" t="s">
        <v>1265</v>
      </c>
      <c r="B451" s="682">
        <v>3450</v>
      </c>
      <c r="C451" s="681">
        <v>2735401</v>
      </c>
      <c r="D451" s="681">
        <v>382117</v>
      </c>
      <c r="E451" s="681"/>
      <c r="F451" s="681"/>
      <c r="H451" s="3">
        <v>3117518</v>
      </c>
    </row>
    <row r="452" spans="1:8" ht="12" customHeight="1">
      <c r="A452" s="677" t="s">
        <v>1265</v>
      </c>
      <c r="B452" s="682">
        <v>3452</v>
      </c>
      <c r="C452" s="681"/>
      <c r="D452" s="681">
        <v>15727</v>
      </c>
      <c r="E452" s="681"/>
      <c r="F452" s="681"/>
      <c r="H452" s="3">
        <v>15727</v>
      </c>
    </row>
    <row r="453" spans="1:8" ht="12" customHeight="1">
      <c r="A453" s="677" t="s">
        <v>1265</v>
      </c>
      <c r="B453" s="682">
        <v>3453</v>
      </c>
      <c r="C453" s="681"/>
      <c r="D453" s="681"/>
      <c r="E453" s="681"/>
      <c r="F453" s="681"/>
      <c r="H453" s="3">
        <v>0</v>
      </c>
    </row>
    <row r="454" spans="1:8" ht="12" customHeight="1">
      <c r="A454" s="677" t="s">
        <v>1265</v>
      </c>
      <c r="B454" s="682">
        <v>3454</v>
      </c>
      <c r="C454" s="681"/>
      <c r="D454" s="681"/>
      <c r="E454" s="681"/>
      <c r="F454" s="681"/>
      <c r="H454" s="3">
        <v>0</v>
      </c>
    </row>
    <row r="455" spans="1:8" ht="12" customHeight="1">
      <c r="A455" s="677" t="s">
        <v>1265</v>
      </c>
      <c r="B455" s="682">
        <v>3455</v>
      </c>
      <c r="C455" s="681"/>
      <c r="D455" s="681"/>
      <c r="E455" s="681"/>
      <c r="F455" s="681"/>
      <c r="H455" s="3">
        <v>0</v>
      </c>
    </row>
    <row r="456" spans="1:8" ht="12" customHeight="1">
      <c r="A456" s="677" t="s">
        <v>1265</v>
      </c>
      <c r="B456" s="682">
        <v>3456</v>
      </c>
      <c r="C456" s="681"/>
      <c r="D456" s="681"/>
      <c r="E456" s="681"/>
      <c r="F456" s="681"/>
      <c r="H456" s="3">
        <v>0</v>
      </c>
    </row>
    <row r="457" spans="1:8" ht="12" customHeight="1">
      <c r="A457" s="677" t="s">
        <v>1265</v>
      </c>
      <c r="B457" s="682" t="s">
        <v>1103</v>
      </c>
      <c r="C457" s="681"/>
      <c r="D457" s="681"/>
      <c r="E457" s="681"/>
      <c r="F457" s="681"/>
      <c r="H457" s="3">
        <v>0</v>
      </c>
    </row>
    <row r="458" spans="1:8" ht="12" customHeight="1">
      <c r="A458" s="677" t="s">
        <v>1265</v>
      </c>
      <c r="B458" s="682">
        <v>3462</v>
      </c>
      <c r="C458" s="681">
        <v>1200</v>
      </c>
      <c r="D458" s="681">
        <v>11760</v>
      </c>
      <c r="E458" s="681"/>
      <c r="F458" s="681"/>
      <c r="H458" s="3">
        <v>12960</v>
      </c>
    </row>
    <row r="459" spans="1:8" ht="12" customHeight="1">
      <c r="A459" s="677" t="s">
        <v>1265</v>
      </c>
      <c r="B459" s="682">
        <v>3463</v>
      </c>
      <c r="C459" s="681"/>
      <c r="D459" s="681"/>
      <c r="E459" s="681"/>
      <c r="F459" s="681"/>
      <c r="H459" s="3">
        <v>0</v>
      </c>
    </row>
    <row r="460" spans="1:8" ht="12" customHeight="1">
      <c r="A460" s="677" t="s">
        <v>1265</v>
      </c>
      <c r="B460" s="682">
        <v>3464</v>
      </c>
      <c r="C460" s="681"/>
      <c r="D460" s="681"/>
      <c r="E460" s="681"/>
      <c r="F460" s="681"/>
      <c r="H460" s="3">
        <v>0</v>
      </c>
    </row>
    <row r="461" spans="1:8" ht="12" customHeight="1">
      <c r="A461" s="677" t="s">
        <v>1265</v>
      </c>
      <c r="B461" s="682">
        <v>3467</v>
      </c>
      <c r="C461" s="681">
        <v>26261</v>
      </c>
      <c r="D461" s="681">
        <v>16675</v>
      </c>
      <c r="E461" s="681"/>
      <c r="F461" s="681"/>
      <c r="H461" s="3">
        <v>42936</v>
      </c>
    </row>
    <row r="462" spans="1:8" ht="12" customHeight="1">
      <c r="A462" s="677" t="s">
        <v>1265</v>
      </c>
      <c r="B462" s="682">
        <v>3468</v>
      </c>
      <c r="C462" s="681"/>
      <c r="D462" s="681"/>
      <c r="E462" s="681"/>
      <c r="F462" s="681"/>
      <c r="H462" s="3">
        <v>0</v>
      </c>
    </row>
    <row r="463" spans="1:8" ht="12" customHeight="1">
      <c r="A463" s="677" t="s">
        <v>1265</v>
      </c>
      <c r="B463" s="682">
        <v>3473</v>
      </c>
      <c r="C463" s="681"/>
      <c r="D463" s="681">
        <v>303583</v>
      </c>
      <c r="E463" s="681"/>
      <c r="F463" s="681"/>
      <c r="H463" s="3">
        <v>303583</v>
      </c>
    </row>
    <row r="464" spans="1:8" ht="12" customHeight="1">
      <c r="A464" s="677" t="s">
        <v>1265</v>
      </c>
      <c r="B464" s="682">
        <v>3474</v>
      </c>
      <c r="C464" s="681"/>
      <c r="D464" s="681"/>
      <c r="E464" s="681"/>
      <c r="F464" s="681"/>
      <c r="H464" s="3">
        <v>0</v>
      </c>
    </row>
    <row r="465" spans="1:8" ht="12" customHeight="1">
      <c r="A465" s="677" t="s">
        <v>1265</v>
      </c>
      <c r="B465" s="682">
        <v>3476</v>
      </c>
      <c r="C465" s="681"/>
      <c r="D465" s="681"/>
      <c r="E465" s="681"/>
      <c r="F465" s="681"/>
      <c r="G465" s="3">
        <v>48484</v>
      </c>
      <c r="H465" s="3">
        <v>48484</v>
      </c>
    </row>
    <row r="466" spans="1:8" ht="12" customHeight="1">
      <c r="A466" s="677" t="s">
        <v>1265</v>
      </c>
      <c r="B466" s="682">
        <v>3477</v>
      </c>
      <c r="C466" s="681"/>
      <c r="D466" s="681"/>
      <c r="E466" s="681"/>
      <c r="F466" s="681"/>
      <c r="H466" s="3">
        <v>0</v>
      </c>
    </row>
    <row r="467" spans="1:8" ht="12" customHeight="1">
      <c r="A467" s="677" t="s">
        <v>1265</v>
      </c>
      <c r="B467" s="682">
        <v>3478</v>
      </c>
      <c r="C467" s="681"/>
      <c r="D467" s="681"/>
      <c r="E467" s="681"/>
      <c r="F467" s="681"/>
      <c r="H467" s="3">
        <v>0</v>
      </c>
    </row>
    <row r="468" spans="1:8" ht="12" customHeight="1">
      <c r="A468" s="677" t="s">
        <v>1265</v>
      </c>
      <c r="B468" s="682">
        <v>3481</v>
      </c>
      <c r="C468" s="681"/>
      <c r="D468" s="681"/>
      <c r="E468" s="681"/>
      <c r="F468" s="681"/>
      <c r="H468" s="3">
        <v>0</v>
      </c>
    </row>
    <row r="469" spans="1:8" ht="12" customHeight="1">
      <c r="A469" s="677" t="s">
        <v>1265</v>
      </c>
      <c r="B469" s="682">
        <v>3482</v>
      </c>
      <c r="C469" s="681"/>
      <c r="D469" s="681"/>
      <c r="E469" s="681"/>
      <c r="F469" s="681"/>
      <c r="H469" s="3">
        <v>0</v>
      </c>
    </row>
    <row r="470" spans="1:8" ht="12" customHeight="1">
      <c r="A470" s="677" t="s">
        <v>1265</v>
      </c>
      <c r="B470" s="682">
        <v>3485</v>
      </c>
      <c r="C470" s="681"/>
      <c r="D470" s="681"/>
      <c r="E470" s="681"/>
      <c r="F470" s="681"/>
      <c r="H470" s="3">
        <v>0</v>
      </c>
    </row>
    <row r="471" spans="1:8" ht="12" customHeight="1">
      <c r="A471" s="677" t="s">
        <v>1265</v>
      </c>
      <c r="B471" s="682">
        <v>3487</v>
      </c>
      <c r="C471" s="681"/>
      <c r="D471" s="681"/>
      <c r="E471" s="681"/>
      <c r="F471" s="681"/>
      <c r="H471" s="3">
        <v>0</v>
      </c>
    </row>
    <row r="472" spans="1:8" ht="12" customHeight="1">
      <c r="A472" s="677" t="s">
        <v>1265</v>
      </c>
      <c r="B472" s="682">
        <v>3488</v>
      </c>
      <c r="C472" s="681"/>
      <c r="D472" s="681"/>
      <c r="E472" s="681"/>
      <c r="F472" s="681"/>
      <c r="H472" s="3">
        <v>0</v>
      </c>
    </row>
    <row r="473" spans="1:8" ht="12" customHeight="1">
      <c r="A473" s="677" t="s">
        <v>1265</v>
      </c>
      <c r="B473" s="682">
        <v>3489</v>
      </c>
      <c r="C473" s="681"/>
      <c r="D473" s="681"/>
      <c r="E473" s="681"/>
      <c r="F473" s="681"/>
      <c r="H473" s="3">
        <v>0</v>
      </c>
    </row>
    <row r="474" spans="1:8" ht="12" customHeight="1">
      <c r="A474" s="677" t="s">
        <v>1265</v>
      </c>
      <c r="B474" s="682">
        <v>3490</v>
      </c>
      <c r="C474" s="681"/>
      <c r="D474" s="681"/>
      <c r="E474" s="681"/>
      <c r="F474" s="681"/>
      <c r="H474" s="3">
        <v>0</v>
      </c>
    </row>
    <row r="475" spans="1:8" ht="12" customHeight="1">
      <c r="A475" s="677" t="s">
        <v>1265</v>
      </c>
      <c r="B475" s="682">
        <v>3491</v>
      </c>
      <c r="C475" s="681"/>
      <c r="D475" s="681"/>
      <c r="E475" s="681"/>
      <c r="F475" s="681"/>
      <c r="H475" s="3">
        <v>0</v>
      </c>
    </row>
    <row r="476" spans="1:8" ht="12" customHeight="1">
      <c r="A476" s="677" t="s">
        <v>1265</v>
      </c>
      <c r="B476" s="682">
        <v>3492</v>
      </c>
      <c r="C476" s="681"/>
      <c r="D476" s="681"/>
      <c r="E476" s="681"/>
      <c r="F476" s="681"/>
      <c r="H476" s="3">
        <v>0</v>
      </c>
    </row>
    <row r="477" spans="1:8" ht="12" customHeight="1">
      <c r="A477" s="677" t="s">
        <v>1265</v>
      </c>
      <c r="B477" s="682">
        <v>3494</v>
      </c>
      <c r="C477" s="681"/>
      <c r="D477" s="681"/>
      <c r="E477" s="681"/>
      <c r="F477" s="681"/>
      <c r="H477" s="3">
        <v>0</v>
      </c>
    </row>
    <row r="478" spans="1:8" ht="12" customHeight="1">
      <c r="A478" s="677" t="s">
        <v>1265</v>
      </c>
      <c r="B478" s="682">
        <v>3495</v>
      </c>
      <c r="C478" s="681"/>
      <c r="D478" s="681"/>
      <c r="E478" s="681"/>
      <c r="F478" s="681"/>
      <c r="H478" s="3">
        <v>0</v>
      </c>
    </row>
    <row r="479" spans="1:8" ht="12" customHeight="1">
      <c r="A479" s="677" t="s">
        <v>1265</v>
      </c>
      <c r="B479" s="682">
        <v>3496</v>
      </c>
      <c r="C479" s="681"/>
      <c r="D479" s="681"/>
      <c r="E479" s="681"/>
      <c r="F479" s="681"/>
      <c r="H479" s="3">
        <v>0</v>
      </c>
    </row>
    <row r="480" spans="1:8" ht="12" customHeight="1">
      <c r="A480" s="677" t="s">
        <v>1265</v>
      </c>
      <c r="B480" s="682">
        <v>3497</v>
      </c>
      <c r="C480" s="681"/>
      <c r="D480" s="681"/>
      <c r="E480" s="681"/>
      <c r="F480" s="681"/>
      <c r="H480" s="3">
        <v>0</v>
      </c>
    </row>
    <row r="481" spans="1:8" ht="12" customHeight="1">
      <c r="A481" s="677" t="s">
        <v>1265</v>
      </c>
      <c r="B481" s="682">
        <v>3499</v>
      </c>
      <c r="C481" s="681"/>
      <c r="D481" s="681"/>
      <c r="E481" s="681"/>
      <c r="F481" s="681"/>
      <c r="H481" s="3">
        <v>0</v>
      </c>
    </row>
    <row r="482" spans="1:8" ht="12" customHeight="1">
      <c r="A482" s="677" t="s">
        <v>1265</v>
      </c>
      <c r="B482" s="682">
        <v>3501</v>
      </c>
      <c r="C482" s="681"/>
      <c r="D482" s="681"/>
      <c r="E482" s="681"/>
      <c r="F482" s="681"/>
      <c r="H482" s="3">
        <v>0</v>
      </c>
    </row>
    <row r="483" spans="1:8" ht="12" customHeight="1">
      <c r="A483" s="677" t="s">
        <v>1265</v>
      </c>
      <c r="B483" s="682">
        <v>3502</v>
      </c>
      <c r="C483" s="681"/>
      <c r="D483" s="681"/>
      <c r="E483" s="681"/>
      <c r="F483" s="681"/>
      <c r="H483" s="3">
        <v>0</v>
      </c>
    </row>
    <row r="484" spans="1:8" ht="12" customHeight="1">
      <c r="A484" s="677" t="s">
        <v>1265</v>
      </c>
      <c r="B484" s="682">
        <v>3503</v>
      </c>
      <c r="C484" s="681"/>
      <c r="D484" s="681"/>
      <c r="E484" s="681"/>
      <c r="F484" s="681"/>
      <c r="H484" s="3">
        <v>0</v>
      </c>
    </row>
    <row r="485" spans="1:8" ht="12" customHeight="1">
      <c r="A485" s="677" t="s">
        <v>1265</v>
      </c>
      <c r="B485" s="682">
        <v>3504</v>
      </c>
      <c r="C485" s="681"/>
      <c r="D485" s="681"/>
      <c r="E485" s="681"/>
      <c r="F485" s="681"/>
      <c r="H485" s="3">
        <v>0</v>
      </c>
    </row>
    <row r="486" spans="1:8" ht="12" customHeight="1">
      <c r="A486" s="677" t="s">
        <v>1265</v>
      </c>
      <c r="B486" s="682">
        <v>3506</v>
      </c>
      <c r="C486" s="681"/>
      <c r="D486" s="681"/>
      <c r="E486" s="681"/>
      <c r="F486" s="681"/>
      <c r="H486" s="3">
        <v>0</v>
      </c>
    </row>
    <row r="487" spans="1:8" ht="12" customHeight="1">
      <c r="A487" s="677" t="s">
        <v>1265</v>
      </c>
      <c r="B487" s="682">
        <v>3507</v>
      </c>
      <c r="C487" s="681"/>
      <c r="D487" s="681"/>
      <c r="E487" s="681"/>
      <c r="F487" s="681"/>
      <c r="H487" s="3">
        <v>0</v>
      </c>
    </row>
    <row r="488" spans="1:8" ht="12" customHeight="1">
      <c r="A488" s="677" t="s">
        <v>1265</v>
      </c>
      <c r="B488" s="682">
        <v>3508</v>
      </c>
      <c r="C488" s="681"/>
      <c r="D488" s="681"/>
      <c r="E488" s="681"/>
      <c r="F488" s="681"/>
      <c r="H488" s="3">
        <v>0</v>
      </c>
    </row>
    <row r="489" spans="1:8" ht="12" customHeight="1">
      <c r="A489" s="677" t="s">
        <v>1265</v>
      </c>
      <c r="B489" s="682">
        <v>3511</v>
      </c>
      <c r="C489" s="681"/>
      <c r="D489" s="681"/>
      <c r="E489" s="681"/>
      <c r="F489" s="681"/>
      <c r="H489" s="3">
        <v>0</v>
      </c>
    </row>
    <row r="490" spans="1:8" ht="12" customHeight="1">
      <c r="A490" s="677" t="s">
        <v>1265</v>
      </c>
      <c r="B490" s="682">
        <v>3514</v>
      </c>
      <c r="C490" s="681"/>
      <c r="D490" s="681"/>
      <c r="E490" s="681"/>
      <c r="F490" s="681"/>
      <c r="H490" s="3">
        <v>0</v>
      </c>
    </row>
    <row r="491" spans="1:8" ht="12" customHeight="1">
      <c r="A491" s="677" t="s">
        <v>1265</v>
      </c>
      <c r="B491" s="682">
        <v>3515</v>
      </c>
      <c r="C491" s="681">
        <v>26266</v>
      </c>
      <c r="D491" s="681">
        <v>2977</v>
      </c>
      <c r="E491" s="681"/>
      <c r="F491" s="681"/>
      <c r="H491" s="3">
        <v>29243</v>
      </c>
    </row>
    <row r="492" spans="1:8" ht="12" customHeight="1">
      <c r="A492" s="677" t="s">
        <v>1265</v>
      </c>
      <c r="B492" s="682">
        <v>3516</v>
      </c>
      <c r="C492" s="681"/>
      <c r="D492" s="681"/>
      <c r="E492" s="681"/>
      <c r="F492" s="681"/>
      <c r="H492" s="3">
        <v>0</v>
      </c>
    </row>
    <row r="493" spans="1:8" ht="12" customHeight="1">
      <c r="A493" s="677" t="s">
        <v>1265</v>
      </c>
      <c r="B493" s="682">
        <v>3524</v>
      </c>
      <c r="C493" s="681"/>
      <c r="D493" s="681"/>
      <c r="E493" s="681"/>
      <c r="F493" s="681"/>
      <c r="H493" s="3">
        <v>0</v>
      </c>
    </row>
    <row r="494" spans="1:8" ht="12" customHeight="1">
      <c r="A494" s="677" t="s">
        <v>1265</v>
      </c>
      <c r="B494" s="682">
        <v>3525</v>
      </c>
      <c r="C494" s="681">
        <v>26779</v>
      </c>
      <c r="D494" s="681"/>
      <c r="E494" s="681"/>
      <c r="F494" s="681"/>
      <c r="H494" s="3">
        <v>26779</v>
      </c>
    </row>
    <row r="495" spans="1:8" ht="12" customHeight="1">
      <c r="A495" s="677" t="s">
        <v>1265</v>
      </c>
      <c r="B495" s="682">
        <v>3526</v>
      </c>
      <c r="C495" s="681"/>
      <c r="D495" s="681"/>
      <c r="E495" s="681"/>
      <c r="F495" s="681"/>
      <c r="H495" s="3">
        <v>0</v>
      </c>
    </row>
    <row r="496" spans="1:8" ht="12" customHeight="1">
      <c r="A496" s="677" t="s">
        <v>1265</v>
      </c>
      <c r="B496" s="677">
        <v>3535</v>
      </c>
      <c r="C496" s="681">
        <v>11836</v>
      </c>
      <c r="D496" s="681"/>
      <c r="E496" s="681"/>
      <c r="F496" s="681"/>
      <c r="H496" s="3">
        <v>11836</v>
      </c>
    </row>
    <row r="497" spans="1:8" ht="12" customHeight="1">
      <c r="A497" s="677" t="s">
        <v>1265</v>
      </c>
      <c r="B497" s="677">
        <v>3540</v>
      </c>
      <c r="C497" s="681"/>
      <c r="D497" s="681"/>
      <c r="E497" s="681"/>
      <c r="F497" s="681"/>
      <c r="H497" s="3">
        <v>0</v>
      </c>
    </row>
    <row r="498" spans="1:8" ht="12" customHeight="1">
      <c r="A498" s="677" t="s">
        <v>1265</v>
      </c>
      <c r="B498" s="677">
        <v>3541</v>
      </c>
      <c r="C498" s="681">
        <v>4000</v>
      </c>
      <c r="D498" s="681"/>
      <c r="E498" s="681"/>
      <c r="F498" s="681"/>
      <c r="H498" s="3">
        <v>4000</v>
      </c>
    </row>
    <row r="499" spans="1:8" ht="12" customHeight="1">
      <c r="A499" s="677" t="s">
        <v>1265</v>
      </c>
      <c r="B499" s="677">
        <v>3542</v>
      </c>
      <c r="C499" s="681"/>
      <c r="D499" s="681"/>
      <c r="E499" s="681"/>
      <c r="F499" s="681"/>
      <c r="H499" s="3">
        <v>0</v>
      </c>
    </row>
    <row r="500" spans="1:8" ht="12" customHeight="1">
      <c r="A500" s="677" t="s">
        <v>1265</v>
      </c>
      <c r="B500" s="677">
        <v>3543</v>
      </c>
      <c r="C500" s="681"/>
      <c r="D500" s="681"/>
      <c r="E500" s="681"/>
      <c r="F500" s="681"/>
      <c r="H500" s="3">
        <v>0</v>
      </c>
    </row>
    <row r="501" spans="1:8" ht="12" customHeight="1">
      <c r="A501" s="677" t="s">
        <v>1265</v>
      </c>
      <c r="B501" s="677">
        <v>3545</v>
      </c>
      <c r="C501" s="681"/>
      <c r="D501" s="681"/>
      <c r="E501" s="681"/>
      <c r="F501" s="681"/>
      <c r="H501" s="3">
        <v>0</v>
      </c>
    </row>
    <row r="502" spans="1:8" ht="12" customHeight="1">
      <c r="A502" s="677" t="s">
        <v>1265</v>
      </c>
      <c r="B502" s="677">
        <v>3546</v>
      </c>
      <c r="C502" s="681"/>
      <c r="D502" s="681"/>
      <c r="E502" s="681"/>
      <c r="F502" s="681"/>
      <c r="H502" s="3">
        <v>0</v>
      </c>
    </row>
    <row r="503" spans="1:8" ht="12" customHeight="1">
      <c r="A503" s="677" t="s">
        <v>1265</v>
      </c>
      <c r="B503" s="677">
        <v>3547</v>
      </c>
      <c r="C503" s="681"/>
      <c r="D503" s="681"/>
      <c r="E503" s="681"/>
      <c r="F503" s="681"/>
      <c r="H503" s="3">
        <v>0</v>
      </c>
    </row>
    <row r="504" spans="1:8" ht="12" customHeight="1">
      <c r="A504" s="677" t="s">
        <v>1265</v>
      </c>
      <c r="B504" s="677">
        <v>3549</v>
      </c>
      <c r="C504" s="681"/>
      <c r="D504" s="681"/>
      <c r="E504" s="681"/>
      <c r="F504" s="681"/>
      <c r="H504" s="3">
        <v>0</v>
      </c>
    </row>
    <row r="505" spans="1:8" ht="12" customHeight="1">
      <c r="A505" s="677" t="s">
        <v>1265</v>
      </c>
      <c r="B505" s="677">
        <v>3550</v>
      </c>
      <c r="C505" s="681"/>
      <c r="D505" s="681"/>
      <c r="E505" s="681"/>
      <c r="F505" s="681"/>
      <c r="H505" s="3">
        <v>0</v>
      </c>
    </row>
    <row r="506" spans="1:8" ht="12" customHeight="1">
      <c r="A506" s="677" t="s">
        <v>1265</v>
      </c>
      <c r="B506" s="677">
        <v>3551</v>
      </c>
      <c r="C506" s="681"/>
      <c r="D506" s="681"/>
      <c r="E506" s="681"/>
      <c r="F506" s="681"/>
      <c r="H506" s="3">
        <v>0</v>
      </c>
    </row>
    <row r="507" spans="1:8" ht="12" customHeight="1">
      <c r="A507" s="677" t="s">
        <v>1265</v>
      </c>
      <c r="B507" s="677">
        <v>3553</v>
      </c>
      <c r="C507" s="681"/>
      <c r="D507" s="681"/>
      <c r="E507" s="681"/>
      <c r="F507" s="681"/>
      <c r="H507" s="3">
        <v>0</v>
      </c>
    </row>
    <row r="508" spans="1:8" ht="12" customHeight="1">
      <c r="A508" s="677" t="s">
        <v>1265</v>
      </c>
      <c r="B508" s="677">
        <v>3554</v>
      </c>
      <c r="C508" s="681"/>
      <c r="D508" s="681"/>
      <c r="E508" s="681"/>
      <c r="F508" s="681"/>
      <c r="H508" s="3">
        <v>0</v>
      </c>
    </row>
    <row r="509" spans="1:8" ht="12" customHeight="1">
      <c r="A509" s="677" t="s">
        <v>1265</v>
      </c>
      <c r="B509" s="677">
        <v>3555</v>
      </c>
      <c r="C509" s="681"/>
      <c r="D509" s="681"/>
      <c r="E509" s="681"/>
      <c r="F509" s="681"/>
      <c r="H509" s="3">
        <v>0</v>
      </c>
    </row>
    <row r="510" spans="1:8" ht="12" customHeight="1">
      <c r="A510" s="677" t="s">
        <v>1265</v>
      </c>
      <c r="B510" s="677">
        <v>3561</v>
      </c>
      <c r="C510" s="681">
        <v>187441</v>
      </c>
      <c r="D510" s="681">
        <v>35137</v>
      </c>
      <c r="E510" s="681"/>
      <c r="F510" s="681"/>
      <c r="H510" s="3">
        <v>222578</v>
      </c>
    </row>
    <row r="511" spans="1:8" ht="12" customHeight="1">
      <c r="A511" s="677" t="s">
        <v>1265</v>
      </c>
      <c r="B511" s="677">
        <v>3562</v>
      </c>
      <c r="C511" s="681">
        <v>38424</v>
      </c>
      <c r="D511" s="681"/>
      <c r="E511" s="681"/>
      <c r="F511" s="681"/>
      <c r="H511" s="3">
        <v>38424</v>
      </c>
    </row>
    <row r="512" spans="1:8" ht="12" customHeight="1">
      <c r="A512" s="677" t="s">
        <v>1265</v>
      </c>
      <c r="B512" s="677">
        <v>3563</v>
      </c>
      <c r="C512" s="681"/>
      <c r="D512" s="681"/>
      <c r="E512" s="681"/>
      <c r="F512" s="681"/>
      <c r="H512" s="3">
        <v>0</v>
      </c>
    </row>
    <row r="513" spans="1:8" ht="12" customHeight="1">
      <c r="A513" s="677" t="s">
        <v>1265</v>
      </c>
      <c r="B513" s="677">
        <v>3564</v>
      </c>
      <c r="C513" s="681"/>
      <c r="D513" s="681"/>
      <c r="E513" s="681"/>
      <c r="F513" s="681"/>
      <c r="H513" s="3">
        <v>0</v>
      </c>
    </row>
    <row r="514" spans="1:8" ht="12" customHeight="1">
      <c r="A514" s="677" t="s">
        <v>1265</v>
      </c>
      <c r="B514" s="677">
        <v>3565</v>
      </c>
      <c r="C514" s="681">
        <v>4716</v>
      </c>
      <c r="D514" s="681">
        <v>570</v>
      </c>
      <c r="E514" s="681"/>
      <c r="F514" s="681"/>
      <c r="H514" s="3">
        <v>5286</v>
      </c>
    </row>
    <row r="515" spans="1:8" ht="12" customHeight="1">
      <c r="A515" s="677" t="s">
        <v>1265</v>
      </c>
      <c r="B515" s="677">
        <v>3566</v>
      </c>
      <c r="C515" s="681">
        <v>12481</v>
      </c>
      <c r="D515" s="681"/>
      <c r="E515" s="681"/>
      <c r="F515" s="681"/>
      <c r="H515" s="3">
        <v>12481</v>
      </c>
    </row>
    <row r="516" spans="1:8" ht="12" customHeight="1">
      <c r="A516" s="677" t="s">
        <v>1265</v>
      </c>
      <c r="B516" s="677">
        <v>3571</v>
      </c>
      <c r="C516" s="681"/>
      <c r="D516" s="681"/>
      <c r="E516" s="681"/>
      <c r="F516" s="681"/>
      <c r="H516" s="3">
        <v>0</v>
      </c>
    </row>
    <row r="517" spans="1:8" ht="12" customHeight="1">
      <c r="A517" s="677" t="s">
        <v>1265</v>
      </c>
      <c r="B517" s="677">
        <v>3572</v>
      </c>
      <c r="C517" s="681"/>
      <c r="D517" s="681"/>
      <c r="E517" s="681"/>
      <c r="F517" s="681"/>
      <c r="H517" s="3">
        <v>0</v>
      </c>
    </row>
    <row r="518" spans="1:8" ht="12" customHeight="1">
      <c r="A518" s="677" t="s">
        <v>1265</v>
      </c>
      <c r="B518" s="677">
        <v>3573</v>
      </c>
      <c r="C518" s="681"/>
      <c r="D518" s="681"/>
      <c r="E518" s="681"/>
      <c r="F518" s="681"/>
      <c r="H518" s="3">
        <v>0</v>
      </c>
    </row>
    <row r="519" spans="1:8" ht="12" customHeight="1">
      <c r="A519" s="677" t="s">
        <v>1265</v>
      </c>
      <c r="B519" s="677">
        <v>3574</v>
      </c>
      <c r="C519" s="681"/>
      <c r="D519" s="681"/>
      <c r="E519" s="681"/>
      <c r="F519" s="681"/>
      <c r="H519" s="3">
        <v>0</v>
      </c>
    </row>
    <row r="520" spans="1:8" ht="12" customHeight="1">
      <c r="A520" s="677" t="s">
        <v>1265</v>
      </c>
      <c r="B520" s="677">
        <v>3575</v>
      </c>
      <c r="C520" s="681"/>
      <c r="D520" s="681"/>
      <c r="E520" s="681"/>
      <c r="F520" s="681"/>
      <c r="H520" s="3">
        <v>0</v>
      </c>
    </row>
    <row r="521" spans="1:8" ht="12" customHeight="1">
      <c r="A521" s="677" t="s">
        <v>1265</v>
      </c>
      <c r="B521" s="677">
        <v>3576</v>
      </c>
      <c r="C521" s="681"/>
      <c r="D521" s="681"/>
      <c r="E521" s="681"/>
      <c r="F521" s="681"/>
      <c r="H521" s="3">
        <v>0</v>
      </c>
    </row>
    <row r="522" spans="1:8" ht="12" customHeight="1">
      <c r="A522" s="677" t="s">
        <v>1265</v>
      </c>
      <c r="B522" s="677">
        <v>3581</v>
      </c>
      <c r="C522" s="681">
        <v>0</v>
      </c>
      <c r="D522" s="681">
        <v>41723</v>
      </c>
      <c r="E522" s="681"/>
      <c r="F522" s="681"/>
      <c r="H522" s="3">
        <v>41723</v>
      </c>
    </row>
    <row r="523" spans="1:8" ht="12" customHeight="1">
      <c r="A523" s="677" t="s">
        <v>1265</v>
      </c>
      <c r="B523" s="677">
        <v>3582</v>
      </c>
      <c r="C523" s="681"/>
      <c r="D523" s="681"/>
      <c r="E523" s="681"/>
      <c r="F523" s="681"/>
      <c r="H523" s="3">
        <v>0</v>
      </c>
    </row>
    <row r="524" spans="1:8" ht="12" customHeight="1">
      <c r="A524" s="677" t="s">
        <v>1265</v>
      </c>
      <c r="B524" s="677">
        <v>3583</v>
      </c>
      <c r="C524" s="681"/>
      <c r="D524" s="681"/>
      <c r="E524" s="681"/>
      <c r="F524" s="681"/>
      <c r="H524" s="3">
        <v>0</v>
      </c>
    </row>
    <row r="525" spans="1:8" ht="12" customHeight="1">
      <c r="A525" s="677" t="s">
        <v>1265</v>
      </c>
      <c r="B525" s="677">
        <v>3584</v>
      </c>
      <c r="C525" s="681"/>
      <c r="D525" s="681"/>
      <c r="E525" s="681"/>
      <c r="F525" s="681"/>
      <c r="H525" s="3">
        <v>0</v>
      </c>
    </row>
    <row r="526" spans="1:8" ht="12" customHeight="1">
      <c r="A526" s="677" t="s">
        <v>1265</v>
      </c>
      <c r="B526" s="677">
        <v>3585</v>
      </c>
      <c r="C526" s="681"/>
      <c r="D526" s="681"/>
      <c r="E526" s="681"/>
      <c r="F526" s="681"/>
      <c r="H526" s="3">
        <v>0</v>
      </c>
    </row>
    <row r="527" spans="1:8" ht="12" customHeight="1">
      <c r="A527" s="677" t="s">
        <v>1265</v>
      </c>
      <c r="B527" s="677">
        <v>3586</v>
      </c>
      <c r="C527" s="681"/>
      <c r="D527" s="681"/>
      <c r="E527" s="681"/>
      <c r="F527" s="681"/>
      <c r="H527" s="3">
        <v>0</v>
      </c>
    </row>
    <row r="528" spans="1:8" ht="12" customHeight="1">
      <c r="A528" s="677">
        <v>605</v>
      </c>
      <c r="B528" s="677">
        <v>3401</v>
      </c>
      <c r="C528" s="681"/>
      <c r="D528" s="681"/>
      <c r="E528" s="681"/>
      <c r="F528" s="681"/>
      <c r="H528" s="3">
        <v>0</v>
      </c>
    </row>
    <row r="529" spans="1:8" ht="12" customHeight="1">
      <c r="A529" s="677">
        <v>605</v>
      </c>
      <c r="B529" s="677">
        <v>3402</v>
      </c>
      <c r="C529" s="681"/>
      <c r="D529" s="681"/>
      <c r="E529" s="681"/>
      <c r="F529" s="681"/>
      <c r="H529" s="3">
        <v>0</v>
      </c>
    </row>
    <row r="530" spans="1:8" ht="12" customHeight="1">
      <c r="A530" s="677">
        <v>605</v>
      </c>
      <c r="B530" s="677">
        <v>3403</v>
      </c>
      <c r="C530" s="681"/>
      <c r="D530" s="681"/>
      <c r="E530" s="681"/>
      <c r="F530" s="681"/>
      <c r="H530" s="3">
        <v>0</v>
      </c>
    </row>
    <row r="531" spans="1:8" ht="12" customHeight="1">
      <c r="A531" s="677">
        <v>605</v>
      </c>
      <c r="B531" s="677">
        <v>3404</v>
      </c>
      <c r="C531" s="681"/>
      <c r="D531" s="681"/>
      <c r="E531" s="681"/>
      <c r="F531" s="681"/>
      <c r="H531" s="3">
        <v>0</v>
      </c>
    </row>
    <row r="532" spans="1:8" ht="12" customHeight="1">
      <c r="A532" s="677">
        <v>605</v>
      </c>
      <c r="B532" s="677">
        <v>3405</v>
      </c>
      <c r="C532" s="681"/>
      <c r="D532" s="681"/>
      <c r="E532" s="681"/>
      <c r="F532" s="681"/>
      <c r="H532" s="3">
        <v>0</v>
      </c>
    </row>
    <row r="533" spans="1:8" ht="12" customHeight="1">
      <c r="A533" s="677">
        <v>605</v>
      </c>
      <c r="B533" s="677">
        <v>3406</v>
      </c>
      <c r="C533" s="681"/>
      <c r="D533" s="681"/>
      <c r="E533" s="681"/>
      <c r="F533" s="681"/>
      <c r="H533" s="3">
        <v>0</v>
      </c>
    </row>
    <row r="534" spans="1:8" ht="12" customHeight="1">
      <c r="A534" s="677">
        <v>605</v>
      </c>
      <c r="B534" s="677">
        <v>3411</v>
      </c>
      <c r="C534" s="681"/>
      <c r="D534" s="681"/>
      <c r="E534" s="681"/>
      <c r="F534" s="681"/>
      <c r="H534" s="3">
        <v>0</v>
      </c>
    </row>
    <row r="535" spans="1:8" ht="12" customHeight="1">
      <c r="A535" s="677">
        <v>605</v>
      </c>
      <c r="B535" s="677">
        <v>3412</v>
      </c>
      <c r="C535" s="681"/>
      <c r="D535" s="681"/>
      <c r="E535" s="681"/>
      <c r="F535" s="681"/>
      <c r="H535" s="3">
        <v>0</v>
      </c>
    </row>
    <row r="536" spans="1:8" ht="12" customHeight="1">
      <c r="A536" s="677">
        <v>605</v>
      </c>
      <c r="B536" s="677">
        <v>3413</v>
      </c>
      <c r="C536" s="681"/>
      <c r="D536" s="681"/>
      <c r="E536" s="681"/>
      <c r="F536" s="681"/>
      <c r="H536" s="3">
        <v>0</v>
      </c>
    </row>
    <row r="537" spans="1:8" ht="12" customHeight="1">
      <c r="A537" s="677">
        <v>605</v>
      </c>
      <c r="B537" s="677">
        <v>3414</v>
      </c>
      <c r="C537" s="681"/>
      <c r="D537" s="681"/>
      <c r="E537" s="681"/>
      <c r="F537" s="681"/>
      <c r="H537" s="3">
        <v>0</v>
      </c>
    </row>
    <row r="538" spans="1:8" ht="12" customHeight="1">
      <c r="A538" s="677">
        <v>605</v>
      </c>
      <c r="B538" s="677">
        <v>3415</v>
      </c>
      <c r="C538" s="681"/>
      <c r="D538" s="681"/>
      <c r="E538" s="681"/>
      <c r="F538" s="681"/>
      <c r="H538" s="3">
        <v>0</v>
      </c>
    </row>
    <row r="539" spans="1:8" ht="12" customHeight="1">
      <c r="A539" s="677">
        <v>605</v>
      </c>
      <c r="B539" s="677">
        <v>3416</v>
      </c>
      <c r="C539" s="681"/>
      <c r="D539" s="681"/>
      <c r="E539" s="681"/>
      <c r="F539" s="681"/>
      <c r="H539" s="3">
        <v>0</v>
      </c>
    </row>
    <row r="540" spans="1:8" ht="12" customHeight="1">
      <c r="A540" s="677">
        <v>605</v>
      </c>
      <c r="B540" s="677">
        <v>3421</v>
      </c>
      <c r="C540" s="681"/>
      <c r="D540" s="681"/>
      <c r="E540" s="681"/>
      <c r="F540" s="681"/>
      <c r="H540" s="3">
        <v>0</v>
      </c>
    </row>
    <row r="541" spans="1:8" ht="12" customHeight="1">
      <c r="A541" s="677">
        <v>605</v>
      </c>
      <c r="B541" s="677">
        <v>3422</v>
      </c>
      <c r="C541" s="681"/>
      <c r="D541" s="681"/>
      <c r="E541" s="681"/>
      <c r="F541" s="681"/>
      <c r="H541" s="3">
        <v>0</v>
      </c>
    </row>
    <row r="542" spans="1:8" ht="12" customHeight="1">
      <c r="A542" s="677">
        <v>605</v>
      </c>
      <c r="B542" s="677">
        <v>3423</v>
      </c>
      <c r="C542" s="681"/>
      <c r="D542" s="681"/>
      <c r="E542" s="681"/>
      <c r="F542" s="681"/>
      <c r="H542" s="3">
        <v>0</v>
      </c>
    </row>
    <row r="543" spans="1:8" ht="12" customHeight="1">
      <c r="A543" s="677">
        <v>605</v>
      </c>
      <c r="B543" s="677">
        <v>3424</v>
      </c>
      <c r="C543" s="681"/>
      <c r="D543" s="681"/>
      <c r="E543" s="681"/>
      <c r="F543" s="681"/>
      <c r="H543" s="3">
        <v>0</v>
      </c>
    </row>
    <row r="544" spans="1:8" ht="12" customHeight="1">
      <c r="A544" s="677">
        <v>605</v>
      </c>
      <c r="B544" s="677">
        <v>3425</v>
      </c>
      <c r="C544" s="681"/>
      <c r="D544" s="681"/>
      <c r="E544" s="681"/>
      <c r="F544" s="681"/>
      <c r="H544" s="3">
        <v>0</v>
      </c>
    </row>
    <row r="545" spans="1:8" ht="12" customHeight="1">
      <c r="A545" s="677">
        <v>605</v>
      </c>
      <c r="B545" s="677">
        <v>3426</v>
      </c>
      <c r="C545" s="681"/>
      <c r="D545" s="681"/>
      <c r="E545" s="681"/>
      <c r="F545" s="681"/>
      <c r="H545" s="3">
        <v>0</v>
      </c>
    </row>
    <row r="546" spans="1:8" ht="12" customHeight="1">
      <c r="A546" s="677">
        <v>605</v>
      </c>
      <c r="B546" s="677">
        <v>3428</v>
      </c>
      <c r="C546" s="681"/>
      <c r="D546" s="681"/>
      <c r="E546" s="681"/>
      <c r="F546" s="681"/>
      <c r="H546" s="3">
        <v>0</v>
      </c>
    </row>
    <row r="547" spans="1:8" ht="12" customHeight="1">
      <c r="A547" s="677">
        <v>605</v>
      </c>
      <c r="B547" s="677">
        <v>3429</v>
      </c>
      <c r="C547" s="681"/>
      <c r="D547" s="681"/>
      <c r="E547" s="681"/>
      <c r="F547" s="681"/>
      <c r="H547" s="3">
        <v>0</v>
      </c>
    </row>
    <row r="548" spans="1:8" ht="12" customHeight="1">
      <c r="A548" s="677">
        <v>605</v>
      </c>
      <c r="B548" s="677">
        <v>3430</v>
      </c>
      <c r="C548" s="681"/>
      <c r="D548" s="681"/>
      <c r="E548" s="681"/>
      <c r="F548" s="681"/>
      <c r="H548" s="3">
        <v>0</v>
      </c>
    </row>
    <row r="549" spans="1:8" ht="12" customHeight="1">
      <c r="A549" s="677">
        <v>605</v>
      </c>
      <c r="B549" s="677">
        <v>3431</v>
      </c>
      <c r="C549" s="681"/>
      <c r="D549" s="681"/>
      <c r="E549" s="681"/>
      <c r="F549" s="681"/>
      <c r="H549" s="3">
        <v>0</v>
      </c>
    </row>
    <row r="550" spans="1:8" ht="12" customHeight="1">
      <c r="A550" s="677">
        <v>605</v>
      </c>
      <c r="B550" s="677">
        <v>3432</v>
      </c>
      <c r="C550" s="681"/>
      <c r="D550" s="681"/>
      <c r="E550" s="681"/>
      <c r="F550" s="681"/>
      <c r="H550" s="3">
        <v>0</v>
      </c>
    </row>
    <row r="551" spans="1:8" ht="12" customHeight="1">
      <c r="A551" s="677">
        <v>605</v>
      </c>
      <c r="B551" s="677">
        <v>3433</v>
      </c>
      <c r="C551" s="681"/>
      <c r="D551" s="681"/>
      <c r="E551" s="681"/>
      <c r="F551" s="681"/>
      <c r="H551" s="3">
        <v>0</v>
      </c>
    </row>
    <row r="552" spans="1:8" ht="12" customHeight="1">
      <c r="A552" s="677">
        <v>605</v>
      </c>
      <c r="B552" s="677">
        <v>3444</v>
      </c>
      <c r="C552" s="681"/>
      <c r="D552" s="681"/>
      <c r="E552" s="681"/>
      <c r="F552" s="681"/>
      <c r="H552" s="3">
        <v>0</v>
      </c>
    </row>
    <row r="553" spans="1:8" ht="12" customHeight="1">
      <c r="A553" s="677">
        <v>605</v>
      </c>
      <c r="B553" s="677">
        <v>3445</v>
      </c>
      <c r="C553" s="681"/>
      <c r="D553" s="681"/>
      <c r="E553" s="681"/>
      <c r="F553" s="681"/>
      <c r="H553" s="3">
        <v>0</v>
      </c>
    </row>
    <row r="554" spans="1:8" ht="12" customHeight="1">
      <c r="A554" s="677">
        <v>605</v>
      </c>
      <c r="B554" s="677">
        <v>3446</v>
      </c>
      <c r="C554" s="681"/>
      <c r="D554" s="681"/>
      <c r="E554" s="681"/>
      <c r="F554" s="681"/>
      <c r="H554" s="3">
        <v>0</v>
      </c>
    </row>
    <row r="555" spans="1:8" ht="12" customHeight="1">
      <c r="A555" s="677">
        <v>605</v>
      </c>
      <c r="B555" s="677">
        <v>3450</v>
      </c>
      <c r="C555" s="681"/>
      <c r="D555" s="681">
        <v>85578</v>
      </c>
      <c r="E555" s="681"/>
      <c r="F555" s="681"/>
      <c r="H555" s="3">
        <v>85578</v>
      </c>
    </row>
    <row r="556" spans="1:8" ht="12" customHeight="1">
      <c r="A556" s="677">
        <v>605</v>
      </c>
      <c r="B556" s="677">
        <v>3452</v>
      </c>
      <c r="C556" s="681"/>
      <c r="D556" s="681">
        <v>0</v>
      </c>
      <c r="E556" s="681"/>
      <c r="F556" s="681"/>
      <c r="H556" s="3">
        <v>0</v>
      </c>
    </row>
    <row r="557" spans="1:8" ht="12" customHeight="1">
      <c r="A557" s="677">
        <v>605</v>
      </c>
      <c r="B557" s="677">
        <v>3453</v>
      </c>
      <c r="C557" s="681"/>
      <c r="D557" s="681"/>
      <c r="E557" s="681"/>
      <c r="F557" s="681"/>
      <c r="H557" s="3">
        <v>0</v>
      </c>
    </row>
    <row r="558" spans="1:8" ht="12" customHeight="1">
      <c r="A558" s="677">
        <v>605</v>
      </c>
      <c r="B558" s="677">
        <v>3454</v>
      </c>
      <c r="C558" s="681"/>
      <c r="D558" s="681"/>
      <c r="E558" s="681"/>
      <c r="F558" s="681"/>
      <c r="H558" s="3">
        <v>0</v>
      </c>
    </row>
    <row r="559" spans="1:8" ht="12" customHeight="1">
      <c r="A559" s="677">
        <v>605</v>
      </c>
      <c r="B559" s="677">
        <v>3455</v>
      </c>
      <c r="C559" s="681"/>
      <c r="D559" s="681"/>
      <c r="E559" s="681"/>
      <c r="F559" s="681"/>
      <c r="H559" s="3">
        <v>0</v>
      </c>
    </row>
    <row r="560" spans="1:8" ht="12" customHeight="1">
      <c r="A560" s="677">
        <v>605</v>
      </c>
      <c r="B560" s="677">
        <v>3456</v>
      </c>
      <c r="C560" s="681"/>
      <c r="D560" s="681"/>
      <c r="E560" s="681"/>
      <c r="F560" s="681"/>
      <c r="H560" s="3">
        <v>0</v>
      </c>
    </row>
    <row r="561" spans="1:8" ht="12" customHeight="1">
      <c r="A561" s="677">
        <v>605</v>
      </c>
      <c r="B561" s="677" t="s">
        <v>1103</v>
      </c>
      <c r="C561" s="681"/>
      <c r="D561" s="681"/>
      <c r="E561" s="681"/>
      <c r="F561" s="681"/>
      <c r="H561" s="3">
        <v>0</v>
      </c>
    </row>
    <row r="562" spans="1:8" ht="12" customHeight="1">
      <c r="A562" s="677">
        <v>605</v>
      </c>
      <c r="B562" s="677">
        <v>3462</v>
      </c>
      <c r="C562" s="681"/>
      <c r="D562" s="681"/>
      <c r="E562" s="681"/>
      <c r="F562" s="681"/>
      <c r="H562" s="3">
        <v>0</v>
      </c>
    </row>
    <row r="563" spans="1:8" ht="12" customHeight="1">
      <c r="A563" s="677">
        <v>605</v>
      </c>
      <c r="B563" s="677">
        <v>3463</v>
      </c>
      <c r="C563" s="681"/>
      <c r="D563" s="681"/>
      <c r="E563" s="681"/>
      <c r="F563" s="681"/>
      <c r="H563" s="3">
        <v>0</v>
      </c>
    </row>
    <row r="564" spans="1:8" ht="12" customHeight="1">
      <c r="A564" s="677">
        <v>605</v>
      </c>
      <c r="B564" s="677">
        <v>3464</v>
      </c>
      <c r="C564" s="681"/>
      <c r="D564" s="681"/>
      <c r="E564" s="681"/>
      <c r="F564" s="681"/>
      <c r="H564" s="3">
        <v>0</v>
      </c>
    </row>
    <row r="565" spans="1:8" ht="12" customHeight="1">
      <c r="A565" s="677">
        <v>605</v>
      </c>
      <c r="B565" s="677">
        <v>3467</v>
      </c>
      <c r="C565" s="681"/>
      <c r="D565" s="681"/>
      <c r="E565" s="681"/>
      <c r="F565" s="681"/>
      <c r="H565" s="3">
        <v>0</v>
      </c>
    </row>
    <row r="566" spans="1:8" ht="12" customHeight="1">
      <c r="A566" s="677">
        <v>605</v>
      </c>
      <c r="B566" s="677">
        <v>3468</v>
      </c>
      <c r="C566" s="681"/>
      <c r="D566" s="681"/>
      <c r="E566" s="681"/>
      <c r="F566" s="681"/>
      <c r="H566" s="3">
        <v>0</v>
      </c>
    </row>
    <row r="567" spans="1:8" ht="12" customHeight="1">
      <c r="A567" s="677">
        <v>605</v>
      </c>
      <c r="B567" s="677">
        <v>3473</v>
      </c>
      <c r="C567" s="681"/>
      <c r="D567" s="681">
        <v>22207</v>
      </c>
      <c r="E567" s="681"/>
      <c r="F567" s="681"/>
      <c r="H567" s="3">
        <v>22207</v>
      </c>
    </row>
    <row r="568" spans="1:8" ht="12" customHeight="1">
      <c r="A568" s="677">
        <v>605</v>
      </c>
      <c r="B568" s="677">
        <v>3474</v>
      </c>
      <c r="C568" s="681"/>
      <c r="D568" s="681"/>
      <c r="E568" s="681"/>
      <c r="F568" s="681"/>
      <c r="H568" s="3">
        <v>0</v>
      </c>
    </row>
    <row r="569" spans="1:8" ht="12" customHeight="1">
      <c r="A569" s="677">
        <v>605</v>
      </c>
      <c r="B569" s="677">
        <v>3476</v>
      </c>
      <c r="C569" s="681"/>
      <c r="D569" s="681"/>
      <c r="E569" s="681"/>
      <c r="F569" s="681"/>
      <c r="H569" s="3">
        <v>0</v>
      </c>
    </row>
    <row r="570" spans="1:8" ht="12" customHeight="1">
      <c r="A570" s="677">
        <v>605</v>
      </c>
      <c r="B570" s="677">
        <v>3477</v>
      </c>
      <c r="C570" s="681"/>
      <c r="D570" s="681"/>
      <c r="E570" s="681"/>
      <c r="F570" s="681"/>
      <c r="H570" s="3">
        <v>0</v>
      </c>
    </row>
    <row r="571" spans="1:8" ht="12" customHeight="1">
      <c r="A571" s="677">
        <v>605</v>
      </c>
      <c r="B571" s="677">
        <v>3478</v>
      </c>
      <c r="C571" s="681"/>
      <c r="D571" s="681"/>
      <c r="E571" s="681"/>
      <c r="F571" s="681"/>
      <c r="H571" s="3">
        <v>0</v>
      </c>
    </row>
    <row r="572" spans="1:8" ht="12" customHeight="1">
      <c r="A572" s="677">
        <v>605</v>
      </c>
      <c r="B572" s="677">
        <v>3481</v>
      </c>
      <c r="C572" s="681"/>
      <c r="D572" s="681"/>
      <c r="E572" s="681"/>
      <c r="F572" s="681"/>
      <c r="H572" s="3">
        <v>0</v>
      </c>
    </row>
    <row r="573" spans="1:8" ht="12" customHeight="1">
      <c r="A573" s="677">
        <v>605</v>
      </c>
      <c r="B573" s="677">
        <v>3482</v>
      </c>
      <c r="C573" s="681"/>
      <c r="D573" s="681"/>
      <c r="E573" s="681"/>
      <c r="F573" s="681"/>
      <c r="H573" s="3">
        <v>0</v>
      </c>
    </row>
    <row r="574" spans="1:8" ht="12" customHeight="1">
      <c r="A574" s="677">
        <v>605</v>
      </c>
      <c r="B574" s="677">
        <v>3485</v>
      </c>
      <c r="C574" s="681"/>
      <c r="D574" s="681"/>
      <c r="E574" s="681"/>
      <c r="F574" s="681"/>
      <c r="H574" s="3">
        <v>0</v>
      </c>
    </row>
    <row r="575" spans="1:8" ht="12" customHeight="1">
      <c r="A575" s="677">
        <v>605</v>
      </c>
      <c r="B575" s="677">
        <v>3487</v>
      </c>
      <c r="C575" s="681"/>
      <c r="D575" s="681"/>
      <c r="E575" s="681"/>
      <c r="F575" s="681"/>
      <c r="H575" s="3">
        <v>0</v>
      </c>
    </row>
    <row r="576" spans="1:8" ht="12" customHeight="1">
      <c r="A576" s="677">
        <v>605</v>
      </c>
      <c r="B576" s="677">
        <v>3488</v>
      </c>
      <c r="C576" s="681"/>
      <c r="D576" s="681"/>
      <c r="E576" s="681"/>
      <c r="F576" s="681"/>
      <c r="H576" s="3">
        <v>0</v>
      </c>
    </row>
    <row r="577" spans="1:8" ht="12" customHeight="1">
      <c r="A577" s="677">
        <v>605</v>
      </c>
      <c r="B577" s="677">
        <v>3489</v>
      </c>
      <c r="C577" s="681"/>
      <c r="D577" s="681"/>
      <c r="E577" s="681"/>
      <c r="F577" s="681"/>
      <c r="H577" s="3">
        <v>0</v>
      </c>
    </row>
    <row r="578" spans="1:8" ht="12" customHeight="1">
      <c r="A578" s="677">
        <v>605</v>
      </c>
      <c r="B578" s="677">
        <v>3490</v>
      </c>
      <c r="C578" s="681"/>
      <c r="D578" s="681"/>
      <c r="E578" s="681"/>
      <c r="F578" s="681"/>
      <c r="H578" s="3">
        <v>0</v>
      </c>
    </row>
    <row r="579" spans="1:8" ht="12" customHeight="1">
      <c r="A579" s="677">
        <v>605</v>
      </c>
      <c r="B579" s="677">
        <v>3491</v>
      </c>
      <c r="C579" s="681"/>
      <c r="D579" s="681"/>
      <c r="E579" s="681"/>
      <c r="F579" s="681"/>
      <c r="H579" s="3">
        <v>0</v>
      </c>
    </row>
    <row r="580" spans="1:8" ht="12" customHeight="1">
      <c r="A580" s="677">
        <v>605</v>
      </c>
      <c r="B580" s="677">
        <v>3492</v>
      </c>
      <c r="C580" s="681"/>
      <c r="D580" s="681"/>
      <c r="E580" s="681"/>
      <c r="F580" s="681"/>
      <c r="H580" s="3">
        <v>0</v>
      </c>
    </row>
    <row r="581" spans="1:8" ht="12" customHeight="1">
      <c r="A581" s="677">
        <v>605</v>
      </c>
      <c r="B581" s="677">
        <v>3494</v>
      </c>
      <c r="C581" s="681"/>
      <c r="D581" s="681"/>
      <c r="E581" s="681"/>
      <c r="F581" s="681"/>
      <c r="H581" s="3">
        <v>0</v>
      </c>
    </row>
    <row r="582" spans="1:8" ht="12" customHeight="1">
      <c r="A582" s="677">
        <v>605</v>
      </c>
      <c r="B582" s="677">
        <v>3495</v>
      </c>
      <c r="C582" s="681"/>
      <c r="D582" s="681"/>
      <c r="E582" s="681"/>
      <c r="F582" s="681"/>
      <c r="H582" s="3">
        <v>0</v>
      </c>
    </row>
    <row r="583" spans="1:8" ht="12" customHeight="1">
      <c r="A583" s="677">
        <v>605</v>
      </c>
      <c r="B583" s="677">
        <v>3496</v>
      </c>
      <c r="C583" s="681"/>
      <c r="D583" s="681"/>
      <c r="E583" s="681"/>
      <c r="F583" s="681"/>
      <c r="H583" s="3">
        <v>0</v>
      </c>
    </row>
    <row r="584" spans="1:8" ht="12" customHeight="1">
      <c r="A584" s="677">
        <v>605</v>
      </c>
      <c r="B584" s="677">
        <v>3497</v>
      </c>
      <c r="C584" s="681"/>
      <c r="D584" s="681"/>
      <c r="E584" s="681"/>
      <c r="F584" s="681"/>
      <c r="H584" s="3">
        <v>0</v>
      </c>
    </row>
    <row r="585" spans="1:8" ht="12" customHeight="1">
      <c r="A585" s="677">
        <v>605</v>
      </c>
      <c r="B585" s="677">
        <v>3499</v>
      </c>
      <c r="C585" s="681"/>
      <c r="D585" s="681"/>
      <c r="E585" s="681"/>
      <c r="F585" s="681"/>
      <c r="H585" s="3">
        <v>0</v>
      </c>
    </row>
    <row r="586" spans="1:8" ht="12" customHeight="1">
      <c r="A586" s="677">
        <v>605</v>
      </c>
      <c r="B586" s="677">
        <v>3501</v>
      </c>
      <c r="C586" s="681"/>
      <c r="D586" s="681"/>
      <c r="E586" s="681"/>
      <c r="F586" s="681"/>
      <c r="H586" s="3">
        <v>0</v>
      </c>
    </row>
    <row r="587" spans="1:8" ht="12" customHeight="1">
      <c r="A587" s="677">
        <v>605</v>
      </c>
      <c r="B587" s="677">
        <v>3502</v>
      </c>
      <c r="C587" s="681"/>
      <c r="D587" s="681"/>
      <c r="E587" s="681"/>
      <c r="F587" s="681"/>
      <c r="H587" s="3">
        <v>0</v>
      </c>
    </row>
    <row r="588" spans="1:8" ht="12" customHeight="1">
      <c r="A588" s="677">
        <v>605</v>
      </c>
      <c r="B588" s="677">
        <v>3503</v>
      </c>
      <c r="C588" s="681"/>
      <c r="D588" s="681"/>
      <c r="E588" s="681"/>
      <c r="F588" s="681"/>
      <c r="H588" s="3">
        <v>0</v>
      </c>
    </row>
    <row r="589" spans="1:8" ht="12" customHeight="1">
      <c r="A589" s="677">
        <v>605</v>
      </c>
      <c r="B589" s="677">
        <v>3504</v>
      </c>
      <c r="C589" s="681"/>
      <c r="D589" s="681"/>
      <c r="E589" s="681"/>
      <c r="F589" s="681"/>
      <c r="H589" s="3">
        <v>0</v>
      </c>
    </row>
    <row r="590" spans="1:8" ht="12" customHeight="1">
      <c r="A590" s="677">
        <v>605</v>
      </c>
      <c r="B590" s="677">
        <v>3506</v>
      </c>
      <c r="C590" s="681"/>
      <c r="D590" s="681"/>
      <c r="E590" s="681"/>
      <c r="F590" s="681"/>
      <c r="H590" s="3">
        <v>0</v>
      </c>
    </row>
    <row r="591" spans="1:8" ht="12" customHeight="1">
      <c r="A591" s="677">
        <v>605</v>
      </c>
      <c r="B591" s="677">
        <v>3507</v>
      </c>
      <c r="C591" s="681"/>
      <c r="D591" s="681"/>
      <c r="E591" s="681"/>
      <c r="F591" s="681"/>
      <c r="H591" s="3">
        <v>0</v>
      </c>
    </row>
    <row r="592" spans="1:8" ht="12" customHeight="1">
      <c r="A592" s="677">
        <v>605</v>
      </c>
      <c r="B592" s="677">
        <v>3508</v>
      </c>
      <c r="C592" s="681"/>
      <c r="D592" s="681"/>
      <c r="E592" s="681"/>
      <c r="F592" s="681"/>
      <c r="H592" s="3">
        <v>0</v>
      </c>
    </row>
    <row r="593" spans="1:8" ht="12" customHeight="1">
      <c r="A593" s="677">
        <v>605</v>
      </c>
      <c r="B593" s="677">
        <v>3511</v>
      </c>
      <c r="C593" s="681"/>
      <c r="D593" s="681"/>
      <c r="E593" s="681"/>
      <c r="F593" s="681"/>
      <c r="H593" s="3">
        <v>0</v>
      </c>
    </row>
    <row r="594" spans="1:8" ht="12" customHeight="1">
      <c r="A594" s="677">
        <v>605</v>
      </c>
      <c r="B594" s="677">
        <v>3514</v>
      </c>
      <c r="C594" s="681"/>
      <c r="D594" s="681"/>
      <c r="E594" s="681"/>
      <c r="F594" s="681"/>
      <c r="H594" s="3">
        <v>0</v>
      </c>
    </row>
    <row r="595" spans="1:8" ht="12" customHeight="1">
      <c r="A595" s="677">
        <v>605</v>
      </c>
      <c r="B595" s="677">
        <v>3515</v>
      </c>
      <c r="C595" s="681"/>
      <c r="D595" s="681">
        <v>1177</v>
      </c>
      <c r="E595" s="681"/>
      <c r="F595" s="681"/>
      <c r="H595" s="3">
        <v>1177</v>
      </c>
    </row>
    <row r="596" spans="1:8" ht="12" customHeight="1">
      <c r="A596" s="677">
        <v>605</v>
      </c>
      <c r="B596" s="677">
        <v>3516</v>
      </c>
      <c r="C596" s="681"/>
      <c r="D596" s="681"/>
      <c r="E596" s="681"/>
      <c r="F596" s="681"/>
      <c r="H596" s="3">
        <v>0</v>
      </c>
    </row>
    <row r="597" spans="1:8" ht="12" customHeight="1">
      <c r="A597" s="677">
        <v>605</v>
      </c>
      <c r="B597" s="677">
        <v>3524</v>
      </c>
      <c r="C597" s="681"/>
      <c r="D597" s="681"/>
      <c r="E597" s="681"/>
      <c r="F597" s="681"/>
      <c r="H597" s="3">
        <v>0</v>
      </c>
    </row>
    <row r="598" spans="1:8" ht="12" customHeight="1">
      <c r="A598" s="677">
        <v>605</v>
      </c>
      <c r="B598" s="677">
        <v>3525</v>
      </c>
      <c r="C598" s="681"/>
      <c r="D598" s="681"/>
      <c r="E598" s="681"/>
      <c r="F598" s="681"/>
      <c r="H598" s="3">
        <v>0</v>
      </c>
    </row>
    <row r="599" spans="1:8" ht="12" customHeight="1">
      <c r="A599" s="677">
        <v>605</v>
      </c>
      <c r="B599" s="677">
        <v>3526</v>
      </c>
      <c r="C599" s="681"/>
      <c r="D599" s="681"/>
      <c r="E599" s="681"/>
      <c r="F599" s="681"/>
      <c r="H599" s="3">
        <v>0</v>
      </c>
    </row>
    <row r="600" spans="1:8" ht="12" customHeight="1">
      <c r="A600" s="677">
        <v>605</v>
      </c>
      <c r="B600" s="677">
        <v>3535</v>
      </c>
      <c r="C600" s="681"/>
      <c r="D600" s="681"/>
      <c r="E600" s="681"/>
      <c r="F600" s="681"/>
      <c r="H600" s="3">
        <v>0</v>
      </c>
    </row>
    <row r="601" spans="1:8" ht="12" customHeight="1">
      <c r="A601" s="677">
        <v>605</v>
      </c>
      <c r="B601" s="677">
        <v>3540</v>
      </c>
      <c r="C601" s="681"/>
      <c r="D601" s="681"/>
      <c r="E601" s="681"/>
      <c r="F601" s="681"/>
      <c r="H601" s="3">
        <v>0</v>
      </c>
    </row>
    <row r="602" spans="1:8" ht="12" customHeight="1">
      <c r="A602" s="677">
        <v>605</v>
      </c>
      <c r="B602" s="677">
        <v>3541</v>
      </c>
      <c r="C602" s="681"/>
      <c r="D602" s="681"/>
      <c r="E602" s="681"/>
      <c r="F602" s="681"/>
      <c r="H602" s="3">
        <v>0</v>
      </c>
    </row>
    <row r="603" spans="1:8" ht="12" customHeight="1">
      <c r="A603" s="677">
        <v>605</v>
      </c>
      <c r="B603" s="677">
        <v>3542</v>
      </c>
      <c r="C603" s="681"/>
      <c r="D603" s="681"/>
      <c r="E603" s="681"/>
      <c r="F603" s="681"/>
      <c r="H603" s="3">
        <v>0</v>
      </c>
    </row>
    <row r="604" spans="1:8" ht="12" customHeight="1">
      <c r="A604" s="677">
        <v>605</v>
      </c>
      <c r="B604" s="677">
        <v>3543</v>
      </c>
      <c r="C604" s="681"/>
      <c r="D604" s="681"/>
      <c r="E604" s="681"/>
      <c r="F604" s="681"/>
      <c r="H604" s="3">
        <v>0</v>
      </c>
    </row>
    <row r="605" spans="1:8" ht="12" customHeight="1">
      <c r="A605" s="677">
        <v>605</v>
      </c>
      <c r="B605" s="677">
        <v>3545</v>
      </c>
      <c r="C605" s="681"/>
      <c r="D605" s="681"/>
      <c r="E605" s="681"/>
      <c r="F605" s="681"/>
      <c r="H605" s="3">
        <v>0</v>
      </c>
    </row>
    <row r="606" spans="1:8" ht="12" customHeight="1">
      <c r="A606" s="677">
        <v>605</v>
      </c>
      <c r="B606" s="677">
        <v>3546</v>
      </c>
      <c r="C606" s="681"/>
      <c r="D606" s="681"/>
      <c r="E606" s="681"/>
      <c r="F606" s="681"/>
      <c r="H606" s="3">
        <v>0</v>
      </c>
    </row>
    <row r="607" spans="1:8" ht="12" customHeight="1">
      <c r="A607" s="677">
        <v>605</v>
      </c>
      <c r="B607" s="677">
        <v>3547</v>
      </c>
      <c r="C607" s="681"/>
      <c r="D607" s="681"/>
      <c r="E607" s="681"/>
      <c r="F607" s="681"/>
      <c r="H607" s="3">
        <v>0</v>
      </c>
    </row>
    <row r="608" spans="1:8" ht="12" customHeight="1">
      <c r="A608" s="677">
        <v>605</v>
      </c>
      <c r="B608" s="677">
        <v>3549</v>
      </c>
      <c r="C608" s="681"/>
      <c r="D608" s="681"/>
      <c r="E608" s="681"/>
      <c r="F608" s="681"/>
      <c r="H608" s="3">
        <v>0</v>
      </c>
    </row>
    <row r="609" spans="1:8" ht="12" customHeight="1">
      <c r="A609" s="677">
        <v>605</v>
      </c>
      <c r="B609" s="677">
        <v>3550</v>
      </c>
      <c r="C609" s="681"/>
      <c r="D609" s="681"/>
      <c r="E609" s="681"/>
      <c r="F609" s="681"/>
      <c r="H609" s="3">
        <v>0</v>
      </c>
    </row>
    <row r="610" spans="1:8" ht="12" customHeight="1">
      <c r="A610" s="677">
        <v>605</v>
      </c>
      <c r="B610" s="677">
        <v>3551</v>
      </c>
      <c r="C610" s="681"/>
      <c r="D610" s="681"/>
      <c r="E610" s="681"/>
      <c r="F610" s="681"/>
      <c r="H610" s="3">
        <v>0</v>
      </c>
    </row>
    <row r="611" spans="1:8" ht="12" customHeight="1">
      <c r="A611" s="677">
        <v>605</v>
      </c>
      <c r="B611" s="677">
        <v>3553</v>
      </c>
      <c r="C611" s="681"/>
      <c r="D611" s="681"/>
      <c r="E611" s="681"/>
      <c r="F611" s="681"/>
      <c r="H611" s="3">
        <v>0</v>
      </c>
    </row>
    <row r="612" spans="1:8" ht="12" customHeight="1">
      <c r="A612" s="677">
        <v>605</v>
      </c>
      <c r="B612" s="677">
        <v>3554</v>
      </c>
      <c r="C612" s="681"/>
      <c r="D612" s="681"/>
      <c r="E612" s="681"/>
      <c r="F612" s="681"/>
      <c r="H612" s="3">
        <v>0</v>
      </c>
    </row>
    <row r="613" spans="1:8" ht="12" customHeight="1">
      <c r="A613" s="677">
        <v>605</v>
      </c>
      <c r="B613" s="677">
        <v>3555</v>
      </c>
      <c r="C613" s="681"/>
      <c r="D613" s="681"/>
      <c r="E613" s="681"/>
      <c r="F613" s="681"/>
      <c r="H613" s="3">
        <v>0</v>
      </c>
    </row>
    <row r="614" spans="1:8" ht="12" customHeight="1">
      <c r="A614" s="677">
        <v>605</v>
      </c>
      <c r="B614" s="677">
        <v>3561</v>
      </c>
      <c r="C614" s="681"/>
      <c r="D614" s="681"/>
      <c r="E614" s="681"/>
      <c r="F614" s="681"/>
      <c r="H614" s="3">
        <v>0</v>
      </c>
    </row>
    <row r="615" spans="1:8" ht="12" customHeight="1">
      <c r="A615" s="677">
        <v>605</v>
      </c>
      <c r="B615" s="677">
        <v>3562</v>
      </c>
      <c r="C615" s="681"/>
      <c r="D615" s="681"/>
      <c r="E615" s="681"/>
      <c r="F615" s="681"/>
      <c r="H615" s="3">
        <v>0</v>
      </c>
    </row>
    <row r="616" spans="1:8" ht="12" customHeight="1">
      <c r="A616" s="677">
        <v>605</v>
      </c>
      <c r="B616" s="677">
        <v>3563</v>
      </c>
      <c r="C616" s="681"/>
      <c r="D616" s="681"/>
      <c r="E616" s="681"/>
      <c r="F616" s="681"/>
      <c r="H616" s="3">
        <v>0</v>
      </c>
    </row>
    <row r="617" spans="1:8" ht="12" customHeight="1">
      <c r="A617" s="677">
        <v>605</v>
      </c>
      <c r="B617" s="677">
        <v>3564</v>
      </c>
      <c r="C617" s="681"/>
      <c r="D617" s="681"/>
      <c r="E617" s="681"/>
      <c r="F617" s="681"/>
      <c r="H617" s="3">
        <v>0</v>
      </c>
    </row>
    <row r="618" spans="1:8" ht="12" customHeight="1">
      <c r="A618" s="677">
        <v>605</v>
      </c>
      <c r="B618" s="677">
        <v>3565</v>
      </c>
      <c r="C618" s="681"/>
      <c r="D618" s="681"/>
      <c r="E618" s="681"/>
      <c r="F618" s="681"/>
      <c r="H618" s="3">
        <v>0</v>
      </c>
    </row>
    <row r="619" spans="1:8" ht="12" customHeight="1">
      <c r="A619" s="677">
        <v>605</v>
      </c>
      <c r="B619" s="677">
        <v>3566</v>
      </c>
      <c r="C619" s="681"/>
      <c r="D619" s="681"/>
      <c r="E619" s="681"/>
      <c r="F619" s="681"/>
      <c r="H619" s="3">
        <v>0</v>
      </c>
    </row>
    <row r="620" spans="1:8" ht="12" customHeight="1">
      <c r="A620" s="677">
        <v>605</v>
      </c>
      <c r="B620" s="677">
        <v>3571</v>
      </c>
      <c r="C620" s="681"/>
      <c r="D620" s="681"/>
      <c r="E620" s="681"/>
      <c r="F620" s="681"/>
      <c r="H620" s="3">
        <v>0</v>
      </c>
    </row>
    <row r="621" spans="1:8" ht="12" customHeight="1">
      <c r="A621" s="677">
        <v>605</v>
      </c>
      <c r="B621" s="677">
        <v>3572</v>
      </c>
      <c r="C621" s="681"/>
      <c r="D621" s="681"/>
      <c r="E621" s="681"/>
      <c r="F621" s="681"/>
      <c r="H621" s="3">
        <v>0</v>
      </c>
    </row>
    <row r="622" spans="1:8" ht="12" customHeight="1">
      <c r="A622" s="677">
        <v>605</v>
      </c>
      <c r="B622" s="677">
        <v>3573</v>
      </c>
      <c r="C622" s="681"/>
      <c r="D622" s="681"/>
      <c r="E622" s="681"/>
      <c r="F622" s="681"/>
      <c r="H622" s="3">
        <v>0</v>
      </c>
    </row>
    <row r="623" spans="1:8" ht="12" customHeight="1">
      <c r="A623" s="677">
        <v>605</v>
      </c>
      <c r="B623" s="677">
        <v>3574</v>
      </c>
      <c r="C623" s="681"/>
      <c r="D623" s="681"/>
      <c r="E623" s="681"/>
      <c r="F623" s="681"/>
      <c r="H623" s="3">
        <v>0</v>
      </c>
    </row>
    <row r="624" spans="1:8" ht="12" customHeight="1">
      <c r="A624" s="677">
        <v>605</v>
      </c>
      <c r="B624" s="677">
        <v>3575</v>
      </c>
      <c r="C624" s="681"/>
      <c r="D624" s="681"/>
      <c r="E624" s="681"/>
      <c r="F624" s="681"/>
      <c r="H624" s="3">
        <v>0</v>
      </c>
    </row>
    <row r="625" spans="1:8" ht="12" customHeight="1">
      <c r="A625" s="677">
        <v>605</v>
      </c>
      <c r="B625" s="677">
        <v>3576</v>
      </c>
      <c r="C625" s="681"/>
      <c r="D625" s="681"/>
      <c r="E625" s="681"/>
      <c r="F625" s="681"/>
      <c r="H625" s="3">
        <v>0</v>
      </c>
    </row>
    <row r="626" spans="1:8" ht="12" customHeight="1">
      <c r="A626" s="677">
        <v>605</v>
      </c>
      <c r="B626" s="677">
        <v>3581</v>
      </c>
      <c r="C626" s="681"/>
      <c r="D626" s="681"/>
      <c r="E626" s="681"/>
      <c r="F626" s="681"/>
      <c r="H626" s="3">
        <v>0</v>
      </c>
    </row>
    <row r="627" spans="1:8" ht="12" customHeight="1">
      <c r="A627" s="677">
        <v>605</v>
      </c>
      <c r="B627" s="677">
        <v>3582</v>
      </c>
      <c r="C627" s="681"/>
      <c r="D627" s="681"/>
      <c r="E627" s="681"/>
      <c r="F627" s="681"/>
      <c r="H627" s="3">
        <v>0</v>
      </c>
    </row>
    <row r="628" spans="1:8" ht="12" customHeight="1">
      <c r="A628" s="677">
        <v>605</v>
      </c>
      <c r="B628" s="677">
        <v>3583</v>
      </c>
      <c r="C628" s="681"/>
      <c r="D628" s="681"/>
      <c r="E628" s="681"/>
      <c r="F628" s="681"/>
      <c r="H628" s="3">
        <v>0</v>
      </c>
    </row>
    <row r="629" spans="1:8" ht="12" customHeight="1">
      <c r="A629" s="677">
        <v>605</v>
      </c>
      <c r="B629" s="677">
        <v>3584</v>
      </c>
      <c r="C629" s="681"/>
      <c r="D629" s="681"/>
      <c r="E629" s="681"/>
      <c r="F629" s="681"/>
      <c r="H629" s="3">
        <v>0</v>
      </c>
    </row>
    <row r="630" spans="1:8" ht="12" customHeight="1">
      <c r="A630" s="677">
        <v>605</v>
      </c>
      <c r="B630" s="677">
        <v>3585</v>
      </c>
      <c r="C630" s="681"/>
      <c r="D630" s="681"/>
      <c r="E630" s="681"/>
      <c r="F630" s="681"/>
      <c r="H630" s="3">
        <v>0</v>
      </c>
    </row>
    <row r="631" spans="1:8" ht="12" customHeight="1">
      <c r="A631" s="677">
        <v>605</v>
      </c>
      <c r="B631" s="677">
        <v>3586</v>
      </c>
      <c r="C631" s="681"/>
      <c r="D631" s="681"/>
      <c r="E631" s="681"/>
      <c r="F631" s="681"/>
      <c r="H631" s="3">
        <v>0</v>
      </c>
    </row>
    <row r="790" spans="2:2" ht="12" customHeight="1">
      <c r="B790" s="503"/>
    </row>
    <row r="791" spans="2:2" ht="12" customHeight="1">
      <c r="B791" s="503"/>
    </row>
    <row r="792" spans="2:2" ht="12" customHeight="1">
      <c r="B792" s="503"/>
    </row>
    <row r="793" spans="2:2" ht="12" customHeight="1">
      <c r="B793" s="503"/>
    </row>
    <row r="794" spans="2:2" ht="12" customHeight="1">
      <c r="B794" s="503"/>
    </row>
    <row r="795" spans="2:2" ht="12" customHeight="1">
      <c r="B795" s="503"/>
    </row>
    <row r="796" spans="2:2" ht="12" customHeight="1">
      <c r="B796" s="503"/>
    </row>
    <row r="797" spans="2:2" ht="12" customHeight="1">
      <c r="B797" s="503"/>
    </row>
    <row r="798" spans="2:2" ht="12" customHeight="1">
      <c r="B798" s="503"/>
    </row>
    <row r="799" spans="2:2" ht="12" customHeight="1">
      <c r="B799" s="503"/>
    </row>
    <row r="800" spans="2:2" ht="12" customHeight="1">
      <c r="B800" s="503"/>
    </row>
    <row r="801" spans="2:2" ht="12" customHeight="1">
      <c r="B801" s="503"/>
    </row>
    <row r="802" spans="2:2" ht="12" customHeight="1">
      <c r="B802" s="503"/>
    </row>
    <row r="803" spans="2:2" ht="12" customHeight="1">
      <c r="B803" s="503"/>
    </row>
    <row r="804" spans="2:2" ht="12" customHeight="1">
      <c r="B804" s="503"/>
    </row>
    <row r="805" spans="2:2" ht="12" customHeight="1">
      <c r="B805" s="503"/>
    </row>
    <row r="806" spans="2:2" ht="12" customHeight="1">
      <c r="B806" s="503"/>
    </row>
    <row r="807" spans="2:2" ht="12" customHeight="1">
      <c r="B807" s="503"/>
    </row>
    <row r="808" spans="2:2" ht="12" customHeight="1">
      <c r="B808" s="503"/>
    </row>
    <row r="809" spans="2:2" ht="12" customHeight="1">
      <c r="B809" s="503"/>
    </row>
    <row r="810" spans="2:2" ht="12" customHeight="1">
      <c r="B810" s="503"/>
    </row>
    <row r="811" spans="2:2" ht="12" customHeight="1">
      <c r="B811" s="503"/>
    </row>
    <row r="812" spans="2:2" ht="12" customHeight="1">
      <c r="B812" s="503"/>
    </row>
    <row r="813" spans="2:2" ht="12" customHeight="1">
      <c r="B813" s="503"/>
    </row>
    <row r="814" spans="2:2" ht="12" customHeight="1">
      <c r="B814" s="503"/>
    </row>
    <row r="815" spans="2:2" ht="12" customHeight="1">
      <c r="B815" s="503"/>
    </row>
    <row r="816" spans="2:2" ht="12" customHeight="1">
      <c r="B816" s="503"/>
    </row>
    <row r="817" spans="2:2" ht="12" customHeight="1">
      <c r="B817" s="503"/>
    </row>
    <row r="818" spans="2:2" ht="12" customHeight="1">
      <c r="B818" s="503"/>
    </row>
    <row r="819" spans="2:2" ht="12" customHeight="1">
      <c r="B819" s="503"/>
    </row>
    <row r="820" spans="2:2" ht="12" customHeight="1">
      <c r="B820" s="503"/>
    </row>
    <row r="821" spans="2:2" ht="12" customHeight="1">
      <c r="B821" s="503"/>
    </row>
    <row r="822" spans="2:2" ht="12" customHeight="1">
      <c r="B822" s="503"/>
    </row>
    <row r="823" spans="2:2" ht="12" customHeight="1">
      <c r="B823" s="503"/>
    </row>
    <row r="824" spans="2:2" ht="12" customHeight="1">
      <c r="B824" s="503"/>
    </row>
    <row r="825" spans="2:2" ht="12" customHeight="1">
      <c r="B825" s="503"/>
    </row>
    <row r="826" spans="2:2" ht="12" customHeight="1">
      <c r="B826" s="503"/>
    </row>
    <row r="827" spans="2:2" ht="12" customHeight="1">
      <c r="B827" s="503"/>
    </row>
    <row r="828" spans="2:2" ht="12" customHeight="1">
      <c r="B828" s="503"/>
    </row>
    <row r="829" spans="2:2" ht="12" customHeight="1">
      <c r="B829" s="503"/>
    </row>
    <row r="830" spans="2:2" ht="12" customHeight="1">
      <c r="B830" s="503"/>
    </row>
    <row r="831" spans="2:2" ht="12" customHeight="1">
      <c r="B831" s="503"/>
    </row>
    <row r="832" spans="2:2" ht="12" customHeight="1">
      <c r="B832" s="503"/>
    </row>
    <row r="833" spans="2:2" ht="12" customHeight="1">
      <c r="B833" s="503"/>
    </row>
    <row r="834" spans="2:2" ht="12" customHeight="1">
      <c r="B834" s="503"/>
    </row>
    <row r="835" spans="2:2" ht="12" customHeight="1">
      <c r="B835" s="503"/>
    </row>
    <row r="836" spans="2:2" ht="12" customHeight="1">
      <c r="B836" s="503"/>
    </row>
    <row r="837" spans="2:2" ht="12" customHeight="1">
      <c r="B837" s="503"/>
    </row>
    <row r="838" spans="2:2" ht="12" customHeight="1">
      <c r="B838" s="503"/>
    </row>
    <row r="839" spans="2:2" ht="12" customHeight="1">
      <c r="B839" s="503"/>
    </row>
    <row r="840" spans="2:2" ht="12" customHeight="1">
      <c r="B840" s="503"/>
    </row>
    <row r="841" spans="2:2" ht="12" customHeight="1">
      <c r="B841" s="503"/>
    </row>
    <row r="842" spans="2:2" ht="12" customHeight="1">
      <c r="B842" s="503"/>
    </row>
    <row r="843" spans="2:2" ht="12" customHeight="1">
      <c r="B843" s="503"/>
    </row>
    <row r="844" spans="2:2" ht="12" customHeight="1">
      <c r="B844" s="503"/>
    </row>
    <row r="845" spans="2:2" ht="12" customHeight="1">
      <c r="B845" s="503"/>
    </row>
    <row r="846" spans="2:2" ht="12" customHeight="1">
      <c r="B846" s="503"/>
    </row>
    <row r="847" spans="2:2" ht="12" customHeight="1">
      <c r="B847" s="503"/>
    </row>
    <row r="848" spans="2:2" ht="12" customHeight="1">
      <c r="B848" s="503"/>
    </row>
    <row r="849" spans="2:2" ht="12" customHeight="1">
      <c r="B849" s="503"/>
    </row>
    <row r="850" spans="2:2" ht="12" customHeight="1">
      <c r="B850" s="503"/>
    </row>
    <row r="851" spans="2:2" ht="12" customHeight="1">
      <c r="B851" s="503"/>
    </row>
    <row r="852" spans="2:2" ht="12" customHeight="1">
      <c r="B852" s="503"/>
    </row>
    <row r="853" spans="2:2" ht="12" customHeight="1">
      <c r="B853" s="503"/>
    </row>
    <row r="854" spans="2:2" ht="12" customHeight="1">
      <c r="B854" s="503"/>
    </row>
    <row r="855" spans="2:2" ht="12" customHeight="1">
      <c r="B855" s="503"/>
    </row>
    <row r="856" spans="2:2" ht="12" customHeight="1">
      <c r="B856" s="503"/>
    </row>
    <row r="857" spans="2:2" ht="12" customHeight="1">
      <c r="B857" s="503"/>
    </row>
    <row r="858" spans="2:2" ht="12" customHeight="1">
      <c r="B858" s="503"/>
    </row>
    <row r="859" spans="2:2" ht="12" customHeight="1">
      <c r="B859" s="503"/>
    </row>
    <row r="860" spans="2:2" ht="12" customHeight="1">
      <c r="B860" s="503"/>
    </row>
    <row r="861" spans="2:2" ht="12" customHeight="1">
      <c r="B861" s="503"/>
    </row>
    <row r="862" spans="2:2" ht="12" customHeight="1">
      <c r="B862" s="503"/>
    </row>
    <row r="863" spans="2:2" ht="12" customHeight="1">
      <c r="B863" s="503"/>
    </row>
    <row r="864" spans="2:2" ht="12" customHeight="1">
      <c r="B864" s="503"/>
    </row>
    <row r="865" spans="2:2" ht="12" customHeight="1">
      <c r="B865" s="503"/>
    </row>
    <row r="866" spans="2:2" ht="12" customHeight="1">
      <c r="B866" s="503"/>
    </row>
    <row r="867" spans="2:2" ht="12" customHeight="1">
      <c r="B867" s="503"/>
    </row>
    <row r="868" spans="2:2" ht="12" customHeight="1">
      <c r="B868" s="503"/>
    </row>
    <row r="869" spans="2:2" ht="12" customHeight="1">
      <c r="B869" s="503"/>
    </row>
    <row r="870" spans="2:2" ht="12" customHeight="1">
      <c r="B870" s="503"/>
    </row>
    <row r="871" spans="2:2" ht="12" customHeight="1">
      <c r="B871" s="503"/>
    </row>
    <row r="872" spans="2:2" ht="12" customHeight="1">
      <c r="B872" s="503"/>
    </row>
    <row r="873" spans="2:2" ht="12" customHeight="1">
      <c r="B873" s="503"/>
    </row>
    <row r="874" spans="2:2" ht="12" customHeight="1">
      <c r="B874" s="503"/>
    </row>
    <row r="875" spans="2:2" ht="12" customHeight="1">
      <c r="B875" s="503"/>
    </row>
    <row r="876" spans="2:2" ht="12" customHeight="1">
      <c r="B876" s="503"/>
    </row>
    <row r="877" spans="2:2" ht="12" customHeight="1">
      <c r="B877" s="503"/>
    </row>
    <row r="878" spans="2:2" ht="12" customHeight="1">
      <c r="B878" s="503"/>
    </row>
    <row r="879" spans="2:2" ht="12" customHeight="1">
      <c r="B879" s="503"/>
    </row>
    <row r="880" spans="2:2" ht="12" customHeight="1">
      <c r="B880" s="503"/>
    </row>
    <row r="881" spans="2:2" ht="12" customHeight="1">
      <c r="B881" s="503"/>
    </row>
    <row r="882" spans="2:2" ht="12" customHeight="1">
      <c r="B882" s="503"/>
    </row>
    <row r="883" spans="2:2" ht="12" customHeight="1">
      <c r="B883" s="503"/>
    </row>
    <row r="884" spans="2:2" ht="12" customHeight="1">
      <c r="B884" s="503"/>
    </row>
    <row r="885" spans="2:2" ht="12" customHeight="1">
      <c r="B885" s="503"/>
    </row>
    <row r="886" spans="2:2" ht="12" customHeight="1">
      <c r="B886" s="503"/>
    </row>
    <row r="887" spans="2:2" ht="12" customHeight="1">
      <c r="B887" s="503"/>
    </row>
    <row r="888" spans="2:2" ht="12" customHeight="1">
      <c r="B888" s="503"/>
    </row>
    <row r="889" spans="2:2" ht="12" customHeight="1">
      <c r="B889" s="503"/>
    </row>
    <row r="890" spans="2:2" ht="12" customHeight="1">
      <c r="B890" s="503"/>
    </row>
    <row r="891" spans="2:2" ht="12" customHeight="1">
      <c r="B891" s="503"/>
    </row>
    <row r="892" spans="2:2" ht="12" customHeight="1">
      <c r="B892" s="503"/>
    </row>
    <row r="893" spans="2:2" ht="12" customHeight="1">
      <c r="B893" s="503"/>
    </row>
    <row r="894" spans="2:2" ht="12" customHeight="1">
      <c r="B894" s="503"/>
    </row>
    <row r="895" spans="2:2" ht="12" customHeight="1">
      <c r="B895" s="503"/>
    </row>
    <row r="896" spans="2:2" ht="12" customHeight="1">
      <c r="B896" s="503"/>
    </row>
    <row r="897" spans="2:2" ht="12" customHeight="1">
      <c r="B897" s="503"/>
    </row>
    <row r="898" spans="2:2" ht="12" customHeight="1">
      <c r="B898" s="503"/>
    </row>
    <row r="899" spans="2:2" ht="12" customHeight="1">
      <c r="B899" s="503"/>
    </row>
    <row r="900" spans="2:2" ht="12" customHeight="1">
      <c r="B900" s="503"/>
    </row>
    <row r="901" spans="2:2" ht="12" customHeight="1">
      <c r="B901" s="503"/>
    </row>
    <row r="902" spans="2:2" ht="12" customHeight="1">
      <c r="B902" s="503"/>
    </row>
    <row r="903" spans="2:2" ht="12" customHeight="1">
      <c r="B903" s="503"/>
    </row>
    <row r="904" spans="2:2" ht="12" customHeight="1">
      <c r="B904" s="503"/>
    </row>
    <row r="905" spans="2:2" ht="12" customHeight="1">
      <c r="B905" s="503"/>
    </row>
    <row r="906" spans="2:2" ht="12" customHeight="1">
      <c r="B906" s="503"/>
    </row>
    <row r="907" spans="2:2" ht="12" customHeight="1">
      <c r="B907" s="503"/>
    </row>
    <row r="908" spans="2:2" ht="12" customHeight="1">
      <c r="B908" s="503"/>
    </row>
    <row r="909" spans="2:2" ht="12" customHeight="1">
      <c r="B909" s="503"/>
    </row>
    <row r="910" spans="2:2" ht="12" customHeight="1">
      <c r="B910" s="503"/>
    </row>
    <row r="911" spans="2:2" ht="12" customHeight="1">
      <c r="B911" s="503"/>
    </row>
    <row r="912" spans="2:2" ht="12" customHeight="1">
      <c r="B912" s="503"/>
    </row>
    <row r="913" spans="2:2" ht="12" customHeight="1">
      <c r="B913" s="503"/>
    </row>
    <row r="914" spans="2:2" ht="12" customHeight="1">
      <c r="B914" s="503"/>
    </row>
    <row r="915" spans="2:2" ht="12" customHeight="1">
      <c r="B915" s="503"/>
    </row>
    <row r="916" spans="2:2" ht="12" customHeight="1">
      <c r="B916" s="503"/>
    </row>
    <row r="917" spans="2:2" ht="12" customHeight="1">
      <c r="B917" s="503"/>
    </row>
    <row r="918" spans="2:2" ht="12" customHeight="1">
      <c r="B918" s="503"/>
    </row>
    <row r="919" spans="2:2" ht="12" customHeight="1">
      <c r="B919" s="503"/>
    </row>
    <row r="920" spans="2:2" ht="12" customHeight="1">
      <c r="B920" s="503"/>
    </row>
    <row r="921" spans="2:2" ht="12" customHeight="1">
      <c r="B921" s="503"/>
    </row>
    <row r="922" spans="2:2" ht="12" customHeight="1">
      <c r="B922" s="503"/>
    </row>
    <row r="923" spans="2:2" ht="12" customHeight="1">
      <c r="B923" s="503"/>
    </row>
    <row r="924" spans="2:2" ht="12" customHeight="1">
      <c r="B924" s="503"/>
    </row>
    <row r="925" spans="2:2" ht="12" customHeight="1">
      <c r="B925" s="503"/>
    </row>
    <row r="926" spans="2:2" ht="12" customHeight="1">
      <c r="B926" s="503"/>
    </row>
    <row r="927" spans="2:2" ht="12" customHeight="1">
      <c r="B927" s="503"/>
    </row>
    <row r="928" spans="2:2" ht="12" customHeight="1">
      <c r="B928" s="503"/>
    </row>
    <row r="929" spans="2:2" ht="12" customHeight="1">
      <c r="B929" s="503"/>
    </row>
    <row r="930" spans="2:2" ht="12" customHeight="1">
      <c r="B930" s="503"/>
    </row>
    <row r="931" spans="2:2" ht="12" customHeight="1">
      <c r="B931" s="503"/>
    </row>
    <row r="932" spans="2:2" ht="12" customHeight="1">
      <c r="B932" s="503"/>
    </row>
    <row r="933" spans="2:2" ht="12" customHeight="1">
      <c r="B933" s="503"/>
    </row>
    <row r="934" spans="2:2" ht="12" customHeight="1">
      <c r="B934" s="503"/>
    </row>
    <row r="935" spans="2:2" ht="12" customHeight="1">
      <c r="B935" s="503"/>
    </row>
    <row r="936" spans="2:2" ht="12" customHeight="1">
      <c r="B936" s="503"/>
    </row>
    <row r="937" spans="2:2" ht="12" customHeight="1">
      <c r="B937" s="503"/>
    </row>
    <row r="938" spans="2:2" ht="12" customHeight="1">
      <c r="B938" s="503"/>
    </row>
    <row r="939" spans="2:2" ht="12" customHeight="1">
      <c r="B939" s="503"/>
    </row>
    <row r="940" spans="2:2" ht="12" customHeight="1">
      <c r="B940" s="503"/>
    </row>
    <row r="941" spans="2:2" ht="12" customHeight="1">
      <c r="B941" s="503"/>
    </row>
    <row r="942" spans="2:2" ht="12" customHeight="1">
      <c r="B942" s="503"/>
    </row>
    <row r="943" spans="2:2" ht="12" customHeight="1">
      <c r="B943" s="503"/>
    </row>
    <row r="944" spans="2:2" ht="12" customHeight="1">
      <c r="B944" s="503"/>
    </row>
    <row r="945" spans="2:2" ht="12" customHeight="1">
      <c r="B945" s="503"/>
    </row>
    <row r="946" spans="2:2" ht="12" customHeight="1">
      <c r="B946" s="503"/>
    </row>
    <row r="947" spans="2:2" ht="12" customHeight="1">
      <c r="B947" s="503"/>
    </row>
    <row r="948" spans="2:2" ht="12" customHeight="1">
      <c r="B948" s="503"/>
    </row>
    <row r="949" spans="2:2" ht="12" customHeight="1">
      <c r="B949" s="503"/>
    </row>
    <row r="950" spans="2:2" ht="12" customHeight="1">
      <c r="B950" s="503"/>
    </row>
    <row r="951" spans="2:2" ht="12" customHeight="1">
      <c r="B951" s="503"/>
    </row>
    <row r="952" spans="2:2" ht="12" customHeight="1">
      <c r="B952" s="503"/>
    </row>
    <row r="953" spans="2:2" ht="12" customHeight="1">
      <c r="B953" s="503"/>
    </row>
    <row r="954" spans="2:2" ht="12" customHeight="1">
      <c r="B954" s="503"/>
    </row>
    <row r="955" spans="2:2" ht="12" customHeight="1">
      <c r="B955" s="503"/>
    </row>
    <row r="956" spans="2:2" ht="12" customHeight="1">
      <c r="B956" s="503"/>
    </row>
    <row r="957" spans="2:2" ht="12" customHeight="1">
      <c r="B957" s="503"/>
    </row>
    <row r="958" spans="2:2" ht="12" customHeight="1">
      <c r="B958" s="503"/>
    </row>
    <row r="959" spans="2:2" ht="12" customHeight="1">
      <c r="B959" s="503"/>
    </row>
    <row r="960" spans="2:2" ht="12" customHeight="1">
      <c r="B960" s="503"/>
    </row>
    <row r="961" spans="2:2" ht="12" customHeight="1">
      <c r="B961" s="503"/>
    </row>
    <row r="962" spans="2:2" ht="12" customHeight="1">
      <c r="B962" s="503"/>
    </row>
    <row r="963" spans="2:2" ht="12" customHeight="1">
      <c r="B963" s="503"/>
    </row>
    <row r="964" spans="2:2" ht="12" customHeight="1">
      <c r="B964" s="503"/>
    </row>
    <row r="965" spans="2:2" ht="12" customHeight="1">
      <c r="B965" s="503"/>
    </row>
    <row r="966" spans="2:2" ht="12" customHeight="1">
      <c r="B966" s="503"/>
    </row>
    <row r="967" spans="2:2" ht="12" customHeight="1">
      <c r="B967" s="503"/>
    </row>
    <row r="968" spans="2:2" ht="12" customHeight="1">
      <c r="B968" s="503"/>
    </row>
    <row r="969" spans="2:2" ht="12" customHeight="1">
      <c r="B969" s="503"/>
    </row>
    <row r="970" spans="2:2" ht="12" customHeight="1">
      <c r="B970" s="503"/>
    </row>
    <row r="971" spans="2:2" ht="12" customHeight="1">
      <c r="B971" s="503"/>
    </row>
    <row r="972" spans="2:2" ht="12" customHeight="1">
      <c r="B972" s="503"/>
    </row>
    <row r="973" spans="2:2" ht="12" customHeight="1">
      <c r="B973" s="503"/>
    </row>
    <row r="974" spans="2:2" ht="12" customHeight="1">
      <c r="B974" s="503"/>
    </row>
    <row r="975" spans="2:2" ht="12" customHeight="1">
      <c r="B975" s="503"/>
    </row>
    <row r="976" spans="2:2" ht="12" customHeight="1">
      <c r="B976" s="503"/>
    </row>
    <row r="977" spans="2:2" ht="12" customHeight="1">
      <c r="B977" s="503"/>
    </row>
    <row r="978" spans="2:2" ht="12" customHeight="1">
      <c r="B978" s="503"/>
    </row>
    <row r="979" spans="2:2" ht="12" customHeight="1">
      <c r="B979" s="503"/>
    </row>
    <row r="980" spans="2:2" ht="12" customHeight="1">
      <c r="B980" s="503"/>
    </row>
    <row r="981" spans="2:2" ht="12" customHeight="1">
      <c r="B981" s="503"/>
    </row>
    <row r="982" spans="2:2" ht="12" customHeight="1">
      <c r="B982" s="503"/>
    </row>
    <row r="983" spans="2:2" ht="12" customHeight="1">
      <c r="B983" s="503"/>
    </row>
    <row r="984" spans="2:2" ht="12" customHeight="1">
      <c r="B984" s="503"/>
    </row>
    <row r="985" spans="2:2" ht="12" customHeight="1">
      <c r="B985" s="503"/>
    </row>
    <row r="986" spans="2:2" ht="12" customHeight="1">
      <c r="B986" s="503"/>
    </row>
    <row r="987" spans="2:2" ht="12" customHeight="1">
      <c r="B987" s="503"/>
    </row>
    <row r="988" spans="2:2" ht="12" customHeight="1">
      <c r="B988" s="503"/>
    </row>
    <row r="989" spans="2:2" ht="12" customHeight="1">
      <c r="B989" s="503"/>
    </row>
    <row r="990" spans="2:2" ht="12" customHeight="1">
      <c r="B990" s="503"/>
    </row>
    <row r="991" spans="2:2" ht="12" customHeight="1">
      <c r="B991" s="503"/>
    </row>
    <row r="992" spans="2:2" ht="12" customHeight="1">
      <c r="B992" s="503"/>
    </row>
    <row r="993" spans="2:2" ht="12" customHeight="1">
      <c r="B993" s="503"/>
    </row>
    <row r="994" spans="2:2" ht="12" customHeight="1">
      <c r="B994" s="503"/>
    </row>
    <row r="995" spans="2:2" ht="12" customHeight="1">
      <c r="B995" s="503"/>
    </row>
    <row r="996" spans="2:2" ht="12" customHeight="1">
      <c r="B996" s="503"/>
    </row>
    <row r="997" spans="2:2" ht="12" customHeight="1">
      <c r="B997" s="503"/>
    </row>
    <row r="998" spans="2:2" ht="12" customHeight="1">
      <c r="B998" s="503"/>
    </row>
    <row r="999" spans="2:2" ht="12" customHeight="1">
      <c r="B999" s="503"/>
    </row>
    <row r="1000" spans="2:2" ht="12" customHeight="1">
      <c r="B1000" s="503"/>
    </row>
    <row r="1001" spans="2:2" ht="12" customHeight="1">
      <c r="B1001" s="503"/>
    </row>
    <row r="1002" spans="2:2" ht="12" customHeight="1">
      <c r="B1002" s="503"/>
    </row>
    <row r="1003" spans="2:2" ht="12" customHeight="1">
      <c r="B1003" s="503"/>
    </row>
    <row r="1004" spans="2:2" ht="12" customHeight="1">
      <c r="B1004" s="503"/>
    </row>
    <row r="1005" spans="2:2" ht="12" customHeight="1">
      <c r="B1005" s="503"/>
    </row>
    <row r="1006" spans="2:2" ht="12" customHeight="1">
      <c r="B1006" s="503"/>
    </row>
    <row r="1007" spans="2:2" ht="12" customHeight="1">
      <c r="B1007" s="503"/>
    </row>
    <row r="1008" spans="2:2" ht="12" customHeight="1">
      <c r="B1008" s="503"/>
    </row>
    <row r="1009" spans="2:2" ht="12" customHeight="1">
      <c r="B1009" s="503"/>
    </row>
    <row r="1010" spans="2:2" ht="12" customHeight="1">
      <c r="B1010" s="503"/>
    </row>
    <row r="1011" spans="2:2" ht="12" customHeight="1">
      <c r="B1011" s="503"/>
    </row>
    <row r="1012" spans="2:2" ht="12" customHeight="1">
      <c r="B1012" s="503"/>
    </row>
    <row r="1013" spans="2:2" ht="12" customHeight="1">
      <c r="B1013" s="503"/>
    </row>
    <row r="1014" spans="2:2" ht="12" customHeight="1">
      <c r="B1014" s="503"/>
    </row>
    <row r="1015" spans="2:2" ht="12" customHeight="1">
      <c r="B1015" s="503"/>
    </row>
    <row r="1016" spans="2:2" ht="12" customHeight="1">
      <c r="B1016" s="503"/>
    </row>
    <row r="1017" spans="2:2" ht="12" customHeight="1">
      <c r="B1017" s="503"/>
    </row>
    <row r="1018" spans="2:2" ht="12" customHeight="1">
      <c r="B1018" s="503"/>
    </row>
    <row r="1019" spans="2:2" ht="12" customHeight="1">
      <c r="B1019" s="503"/>
    </row>
    <row r="1020" spans="2:2" ht="12" customHeight="1">
      <c r="B1020" s="503"/>
    </row>
    <row r="1021" spans="2:2" ht="12" customHeight="1">
      <c r="B1021" s="503"/>
    </row>
    <row r="1022" spans="2:2" ht="12" customHeight="1">
      <c r="B1022" s="503"/>
    </row>
    <row r="1023" spans="2:2" ht="12" customHeight="1">
      <c r="B1023" s="503"/>
    </row>
    <row r="1024" spans="2:2" ht="12" customHeight="1">
      <c r="B1024" s="503"/>
    </row>
    <row r="1025" spans="2:2" ht="12" customHeight="1">
      <c r="B1025" s="503"/>
    </row>
    <row r="1026" spans="2:2" ht="12" customHeight="1">
      <c r="B1026" s="503"/>
    </row>
    <row r="1027" spans="2:2" ht="12" customHeight="1">
      <c r="B1027" s="503"/>
    </row>
    <row r="1028" spans="2:2" ht="12" customHeight="1">
      <c r="B1028" s="503"/>
    </row>
    <row r="1029" spans="2:2" ht="12" customHeight="1">
      <c r="B1029" s="503"/>
    </row>
    <row r="1030" spans="2:2" ht="12" customHeight="1">
      <c r="B1030" s="503"/>
    </row>
    <row r="1031" spans="2:2" ht="12" customHeight="1">
      <c r="B1031" s="503"/>
    </row>
    <row r="1032" spans="2:2" ht="12" customHeight="1">
      <c r="B1032" s="503"/>
    </row>
    <row r="1033" spans="2:2" ht="12" customHeight="1">
      <c r="B1033" s="503"/>
    </row>
    <row r="1034" spans="2:2" ht="12" customHeight="1">
      <c r="B1034" s="503"/>
    </row>
    <row r="1035" spans="2:2" ht="12" customHeight="1">
      <c r="B1035" s="503"/>
    </row>
    <row r="1036" spans="2:2" ht="12" customHeight="1">
      <c r="B1036" s="503"/>
    </row>
    <row r="1037" spans="2:2" ht="12" customHeight="1">
      <c r="B1037" s="503"/>
    </row>
    <row r="1038" spans="2:2" ht="12" customHeight="1">
      <c r="B1038" s="503"/>
    </row>
    <row r="1039" spans="2:2" ht="12" customHeight="1">
      <c r="B1039" s="503"/>
    </row>
    <row r="1040" spans="2:2" ht="12" customHeight="1">
      <c r="B1040" s="503"/>
    </row>
    <row r="1041" spans="2:2" ht="12" customHeight="1">
      <c r="B1041" s="503"/>
    </row>
    <row r="1042" spans="2:2" ht="12" customHeight="1">
      <c r="B1042" s="503"/>
    </row>
    <row r="1043" spans="2:2" ht="12" customHeight="1">
      <c r="B1043" s="503"/>
    </row>
    <row r="1044" spans="2:2" ht="12" customHeight="1">
      <c r="B1044" s="503"/>
    </row>
    <row r="1045" spans="2:2" ht="12" customHeight="1">
      <c r="B1045" s="503"/>
    </row>
    <row r="1046" spans="2:2" ht="12" customHeight="1">
      <c r="B1046" s="503"/>
    </row>
    <row r="1047" spans="2:2" ht="12" customHeight="1">
      <c r="B1047" s="503"/>
    </row>
    <row r="1048" spans="2:2" ht="12" customHeight="1">
      <c r="B1048" s="503"/>
    </row>
    <row r="1049" spans="2:2" ht="12" customHeight="1">
      <c r="B1049" s="503"/>
    </row>
    <row r="1050" spans="2:2" ht="12" customHeight="1">
      <c r="B1050" s="503"/>
    </row>
    <row r="1051" spans="2:2" ht="12" customHeight="1">
      <c r="B1051" s="503"/>
    </row>
    <row r="1052" spans="2:2" ht="12" customHeight="1">
      <c r="B1052" s="503"/>
    </row>
    <row r="1053" spans="2:2" ht="12" customHeight="1">
      <c r="B1053" s="503"/>
    </row>
    <row r="1054" spans="2:2" ht="12" customHeight="1">
      <c r="B1054" s="503"/>
    </row>
    <row r="1055" spans="2:2" ht="12" customHeight="1">
      <c r="B1055" s="503"/>
    </row>
    <row r="1056" spans="2:2" ht="12" customHeight="1">
      <c r="B1056" s="503"/>
    </row>
    <row r="1057" spans="2:2" ht="12" customHeight="1">
      <c r="B1057" s="503"/>
    </row>
    <row r="1058" spans="2:2" ht="12" customHeight="1">
      <c r="B1058" s="503"/>
    </row>
    <row r="1059" spans="2:2" ht="12" customHeight="1">
      <c r="B1059" s="503"/>
    </row>
    <row r="1060" spans="2:2" ht="12" customHeight="1">
      <c r="B1060" s="503"/>
    </row>
    <row r="1061" spans="2:2" ht="12" customHeight="1">
      <c r="B1061" s="503"/>
    </row>
    <row r="1062" spans="2:2" ht="12" customHeight="1">
      <c r="B1062" s="503"/>
    </row>
    <row r="1063" spans="2:2" ht="12" customHeight="1">
      <c r="B1063" s="503"/>
    </row>
    <row r="1064" spans="2:2" ht="12" customHeight="1">
      <c r="B1064" s="503"/>
    </row>
    <row r="1065" spans="2:2" ht="12" customHeight="1">
      <c r="B1065" s="503"/>
    </row>
    <row r="1066" spans="2:2" ht="12" customHeight="1">
      <c r="B1066" s="503"/>
    </row>
    <row r="1067" spans="2:2" ht="12" customHeight="1">
      <c r="B1067" s="503"/>
    </row>
    <row r="1068" spans="2:2" ht="12" customHeight="1">
      <c r="B1068" s="503"/>
    </row>
    <row r="1069" spans="2:2" ht="12" customHeight="1">
      <c r="B1069" s="503"/>
    </row>
    <row r="1070" spans="2:2" ht="12" customHeight="1">
      <c r="B1070" s="503"/>
    </row>
    <row r="1071" spans="2:2" ht="12" customHeight="1">
      <c r="B1071" s="503"/>
    </row>
    <row r="1072" spans="2:2" ht="12" customHeight="1">
      <c r="B1072" s="503"/>
    </row>
    <row r="1073" spans="2:2" ht="12" customHeight="1">
      <c r="B1073" s="503"/>
    </row>
    <row r="1074" spans="2:2" ht="12" customHeight="1">
      <c r="B1074" s="503"/>
    </row>
    <row r="1075" spans="2:2" ht="12" customHeight="1">
      <c r="B1075" s="503"/>
    </row>
    <row r="1076" spans="2:2" ht="12" customHeight="1">
      <c r="B1076" s="503"/>
    </row>
    <row r="1077" spans="2:2" ht="12" customHeight="1">
      <c r="B1077" s="503"/>
    </row>
    <row r="1078" spans="2:2" ht="12" customHeight="1">
      <c r="B1078" s="503"/>
    </row>
    <row r="1079" spans="2:2" ht="12" customHeight="1">
      <c r="B1079" s="503"/>
    </row>
    <row r="1080" spans="2:2" ht="12" customHeight="1">
      <c r="B1080" s="503"/>
    </row>
    <row r="1081" spans="2:2" ht="12" customHeight="1">
      <c r="B1081" s="503"/>
    </row>
    <row r="1082" spans="2:2" ht="12" customHeight="1">
      <c r="B1082" s="503"/>
    </row>
    <row r="1083" spans="2:2" ht="12" customHeight="1">
      <c r="B1083" s="503"/>
    </row>
    <row r="1084" spans="2:2" ht="12" customHeight="1">
      <c r="B1084" s="503"/>
    </row>
    <row r="1085" spans="2:2" ht="12" customHeight="1">
      <c r="B1085" s="503"/>
    </row>
    <row r="1086" spans="2:2" ht="12" customHeight="1">
      <c r="B1086" s="503"/>
    </row>
    <row r="1087" spans="2:2" ht="12" customHeight="1">
      <c r="B1087" s="503"/>
    </row>
    <row r="1088" spans="2:2" ht="12" customHeight="1">
      <c r="B1088" s="503"/>
    </row>
    <row r="1089" spans="2:2" ht="12" customHeight="1">
      <c r="B1089" s="503"/>
    </row>
    <row r="1090" spans="2:2" ht="12" customHeight="1">
      <c r="B1090" s="503"/>
    </row>
    <row r="1091" spans="2:2" ht="12" customHeight="1">
      <c r="B1091" s="503"/>
    </row>
    <row r="1092" spans="2:2" ht="12" customHeight="1">
      <c r="B1092" s="503"/>
    </row>
    <row r="1093" spans="2:2" ht="12" customHeight="1">
      <c r="B1093" s="503"/>
    </row>
    <row r="1094" spans="2:2" ht="12" customHeight="1">
      <c r="B1094" s="503"/>
    </row>
    <row r="1095" spans="2:2" ht="12" customHeight="1">
      <c r="B1095" s="503"/>
    </row>
    <row r="1096" spans="2:2" ht="12" customHeight="1">
      <c r="B1096" s="503"/>
    </row>
    <row r="1097" spans="2:2" ht="12" customHeight="1">
      <c r="B1097" s="503"/>
    </row>
    <row r="1098" spans="2:2" ht="12" customHeight="1">
      <c r="B1098" s="503"/>
    </row>
    <row r="1099" spans="2:2" ht="12" customHeight="1">
      <c r="B1099" s="503"/>
    </row>
    <row r="1100" spans="2:2" ht="12" customHeight="1">
      <c r="B1100" s="503"/>
    </row>
    <row r="1101" spans="2:2" ht="12" customHeight="1">
      <c r="B1101" s="503"/>
    </row>
    <row r="1102" spans="2:2" ht="12" customHeight="1">
      <c r="B1102" s="503"/>
    </row>
    <row r="1103" spans="2:2" ht="12" customHeight="1">
      <c r="B1103" s="503"/>
    </row>
    <row r="1104" spans="2:2" ht="12" customHeight="1">
      <c r="B1104" s="503"/>
    </row>
    <row r="1105" spans="2:2" ht="12" customHeight="1">
      <c r="B1105" s="503"/>
    </row>
    <row r="1106" spans="2:2" ht="12" customHeight="1">
      <c r="B1106" s="503"/>
    </row>
    <row r="1107" spans="2:2" ht="12" customHeight="1">
      <c r="B1107" s="503"/>
    </row>
    <row r="1108" spans="2:2" ht="12" customHeight="1">
      <c r="B1108" s="503"/>
    </row>
    <row r="1109" spans="2:2" ht="12" customHeight="1">
      <c r="B1109" s="503"/>
    </row>
    <row r="1110" spans="2:2" ht="12" customHeight="1">
      <c r="B1110" s="503"/>
    </row>
    <row r="1111" spans="2:2" ht="12" customHeight="1">
      <c r="B1111" s="503"/>
    </row>
    <row r="1112" spans="2:2" ht="12" customHeight="1">
      <c r="B1112" s="503"/>
    </row>
    <row r="1113" spans="2:2" ht="12" customHeight="1">
      <c r="B1113" s="503"/>
    </row>
    <row r="1114" spans="2:2" ht="12" customHeight="1">
      <c r="B1114" s="503"/>
    </row>
    <row r="1115" spans="2:2" ht="12" customHeight="1">
      <c r="B1115" s="503"/>
    </row>
    <row r="1116" spans="2:2" ht="12" customHeight="1">
      <c r="B1116" s="503"/>
    </row>
    <row r="1117" spans="2:2" ht="12" customHeight="1">
      <c r="B1117" s="503"/>
    </row>
    <row r="1118" spans="2:2" ht="12" customHeight="1">
      <c r="B1118" s="503"/>
    </row>
    <row r="1119" spans="2:2" ht="12" customHeight="1">
      <c r="B1119" s="503"/>
    </row>
    <row r="1120" spans="2:2" ht="12" customHeight="1">
      <c r="B1120" s="503"/>
    </row>
    <row r="1121" spans="2:2" ht="12" customHeight="1">
      <c r="B1121" s="503"/>
    </row>
    <row r="1122" spans="2:2" ht="12" customHeight="1">
      <c r="B1122" s="503"/>
    </row>
    <row r="1123" spans="2:2" ht="12" customHeight="1">
      <c r="B1123" s="503"/>
    </row>
    <row r="1124" spans="2:2" ht="12" customHeight="1">
      <c r="B1124" s="503"/>
    </row>
    <row r="1125" spans="2:2" ht="12" customHeight="1">
      <c r="B1125" s="503"/>
    </row>
    <row r="1126" spans="2:2" ht="12" customHeight="1">
      <c r="B1126" s="503"/>
    </row>
    <row r="1127" spans="2:2" ht="12" customHeight="1">
      <c r="B1127" s="503"/>
    </row>
    <row r="1128" spans="2:2" ht="12" customHeight="1">
      <c r="B1128" s="503"/>
    </row>
    <row r="1129" spans="2:2" ht="12" customHeight="1">
      <c r="B1129" s="503"/>
    </row>
    <row r="1130" spans="2:2" ht="12" customHeight="1">
      <c r="B1130" s="503"/>
    </row>
    <row r="1131" spans="2:2" ht="12" customHeight="1">
      <c r="B1131" s="503"/>
    </row>
    <row r="1132" spans="2:2" ht="12" customHeight="1">
      <c r="B1132" s="503"/>
    </row>
    <row r="1133" spans="2:2" ht="12" customHeight="1">
      <c r="B1133" s="503"/>
    </row>
    <row r="1134" spans="2:2" ht="12" customHeight="1">
      <c r="B1134" s="503"/>
    </row>
    <row r="1135" spans="2:2" ht="12" customHeight="1">
      <c r="B1135" s="503"/>
    </row>
    <row r="1136" spans="2:2" ht="12" customHeight="1">
      <c r="B1136" s="503"/>
    </row>
    <row r="1137" spans="2:2" ht="12" customHeight="1">
      <c r="B1137" s="503"/>
    </row>
    <row r="1138" spans="2:2" ht="12" customHeight="1">
      <c r="B1138" s="503"/>
    </row>
    <row r="1139" spans="2:2" ht="12" customHeight="1">
      <c r="B1139" s="503"/>
    </row>
    <row r="1140" spans="2:2" ht="12" customHeight="1">
      <c r="B1140" s="503"/>
    </row>
    <row r="1141" spans="2:2" ht="12" customHeight="1">
      <c r="B1141" s="503"/>
    </row>
    <row r="1142" spans="2:2" ht="12" customHeight="1">
      <c r="B1142" s="503"/>
    </row>
    <row r="1143" spans="2:2" ht="12" customHeight="1">
      <c r="B1143" s="503"/>
    </row>
    <row r="1144" spans="2:2" ht="12" customHeight="1">
      <c r="B1144" s="503"/>
    </row>
    <row r="1145" spans="2:2" ht="12" customHeight="1">
      <c r="B1145" s="503"/>
    </row>
    <row r="1146" spans="2:2" ht="12" customHeight="1">
      <c r="B1146" s="503"/>
    </row>
    <row r="1147" spans="2:2" ht="12" customHeight="1">
      <c r="B1147" s="503"/>
    </row>
    <row r="1148" spans="2:2" ht="12" customHeight="1">
      <c r="B1148" s="503"/>
    </row>
    <row r="1149" spans="2:2" ht="12" customHeight="1">
      <c r="B1149" s="503"/>
    </row>
    <row r="1150" spans="2:2" ht="12" customHeight="1">
      <c r="B1150" s="503"/>
    </row>
    <row r="1151" spans="2:2" ht="12" customHeight="1">
      <c r="B1151" s="503"/>
    </row>
    <row r="1152" spans="2:2" ht="12" customHeight="1">
      <c r="B1152" s="503"/>
    </row>
    <row r="1153" spans="2:2" ht="12" customHeight="1">
      <c r="B1153" s="503"/>
    </row>
    <row r="1154" spans="2:2" ht="12" customHeight="1">
      <c r="B1154" s="503"/>
    </row>
    <row r="1155" spans="2:2" ht="12" customHeight="1">
      <c r="B1155" s="503"/>
    </row>
    <row r="1156" spans="2:2" ht="12" customHeight="1">
      <c r="B1156" s="503"/>
    </row>
    <row r="1157" spans="2:2" ht="12" customHeight="1">
      <c r="B1157" s="503"/>
    </row>
    <row r="1158" spans="2:2" ht="12" customHeight="1">
      <c r="B1158" s="503"/>
    </row>
    <row r="1159" spans="2:2" ht="12" customHeight="1">
      <c r="B1159" s="503"/>
    </row>
    <row r="1160" spans="2:2" ht="12" customHeight="1">
      <c r="B1160" s="503"/>
    </row>
    <row r="1161" spans="2:2" ht="12" customHeight="1">
      <c r="B1161" s="503"/>
    </row>
    <row r="1162" spans="2:2" ht="12" customHeight="1">
      <c r="B1162" s="503"/>
    </row>
    <row r="1163" spans="2:2" ht="12" customHeight="1">
      <c r="B1163" s="503"/>
    </row>
    <row r="1164" spans="2:2" ht="12" customHeight="1">
      <c r="B1164" s="503"/>
    </row>
    <row r="1165" spans="2:2" ht="12" customHeight="1">
      <c r="B1165" s="503"/>
    </row>
    <row r="1166" spans="2:2" ht="12" customHeight="1">
      <c r="B1166" s="503"/>
    </row>
    <row r="1167" spans="2:2" ht="12" customHeight="1">
      <c r="B1167" s="503"/>
    </row>
    <row r="1168" spans="2:2" ht="12" customHeight="1">
      <c r="B1168" s="503"/>
    </row>
    <row r="1169" spans="2:2" ht="12" customHeight="1">
      <c r="B1169" s="503"/>
    </row>
    <row r="1170" spans="2:2" ht="12" customHeight="1">
      <c r="B1170" s="503"/>
    </row>
    <row r="1171" spans="2:2" ht="12" customHeight="1">
      <c r="B1171" s="503"/>
    </row>
    <row r="1172" spans="2:2" ht="12" customHeight="1">
      <c r="B1172" s="503"/>
    </row>
    <row r="1173" spans="2:2" ht="12" customHeight="1">
      <c r="B1173" s="503"/>
    </row>
    <row r="1174" spans="2:2" ht="12" customHeight="1">
      <c r="B1174" s="503"/>
    </row>
    <row r="1175" spans="2:2" ht="12" customHeight="1">
      <c r="B1175" s="503"/>
    </row>
    <row r="1176" spans="2:2" ht="12" customHeight="1">
      <c r="B1176" s="503"/>
    </row>
    <row r="1177" spans="2:2" ht="12" customHeight="1">
      <c r="B1177" s="503"/>
    </row>
    <row r="1178" spans="2:2" ht="12" customHeight="1">
      <c r="B1178" s="503"/>
    </row>
    <row r="1179" spans="2:2" ht="12" customHeight="1">
      <c r="B1179" s="503"/>
    </row>
    <row r="1180" spans="2:2" ht="12" customHeight="1">
      <c r="B1180" s="503"/>
    </row>
    <row r="1181" spans="2:2" ht="12" customHeight="1">
      <c r="B1181" s="503"/>
    </row>
    <row r="1182" spans="2:2" ht="12" customHeight="1">
      <c r="B1182" s="503"/>
    </row>
    <row r="1183" spans="2:2" ht="12" customHeight="1">
      <c r="B1183" s="503"/>
    </row>
    <row r="1184" spans="2:2" ht="12" customHeight="1">
      <c r="B1184" s="503"/>
    </row>
    <row r="1185" spans="2:2" ht="12" customHeight="1">
      <c r="B1185" s="503"/>
    </row>
    <row r="1186" spans="2:2" ht="12" customHeight="1">
      <c r="B1186" s="503"/>
    </row>
    <row r="1187" spans="2:2" ht="12" customHeight="1">
      <c r="B1187" s="503"/>
    </row>
    <row r="1188" spans="2:2" ht="12" customHeight="1">
      <c r="B1188" s="503"/>
    </row>
    <row r="1189" spans="2:2" ht="12" customHeight="1">
      <c r="B1189" s="503"/>
    </row>
    <row r="1190" spans="2:2" ht="12" customHeight="1">
      <c r="B1190" s="503"/>
    </row>
    <row r="1191" spans="2:2" ht="12" customHeight="1">
      <c r="B1191" s="503"/>
    </row>
    <row r="1192" spans="2:2" ht="12" customHeight="1">
      <c r="B1192" s="503"/>
    </row>
    <row r="1193" spans="2:2" ht="12" customHeight="1">
      <c r="B1193" s="503"/>
    </row>
    <row r="1194" spans="2:2" ht="12" customHeight="1">
      <c r="B1194" s="503"/>
    </row>
    <row r="1195" spans="2:2" ht="12" customHeight="1">
      <c r="B1195" s="503"/>
    </row>
    <row r="1196" spans="2:2" ht="12" customHeight="1">
      <c r="B1196" s="503"/>
    </row>
    <row r="1197" spans="2:2" ht="12" customHeight="1">
      <c r="B1197" s="503"/>
    </row>
    <row r="1198" spans="2:2" ht="12" customHeight="1">
      <c r="B1198" s="503"/>
    </row>
    <row r="1199" spans="2:2" ht="12" customHeight="1">
      <c r="B1199" s="503"/>
    </row>
    <row r="1200" spans="2:2" ht="12" customHeight="1">
      <c r="B1200" s="503"/>
    </row>
    <row r="1201" spans="2:2" ht="12" customHeight="1">
      <c r="B1201" s="503"/>
    </row>
    <row r="1202" spans="2:2" ht="12" customHeight="1">
      <c r="B1202" s="503"/>
    </row>
    <row r="1203" spans="2:2" ht="12" customHeight="1">
      <c r="B1203" s="503"/>
    </row>
    <row r="1204" spans="2:2" ht="12" customHeight="1">
      <c r="B1204" s="503"/>
    </row>
    <row r="1205" spans="2:2" ht="12" customHeight="1">
      <c r="B1205" s="503"/>
    </row>
    <row r="1206" spans="2:2" ht="12" customHeight="1">
      <c r="B1206" s="503"/>
    </row>
    <row r="1207" spans="2:2" ht="12" customHeight="1">
      <c r="B1207" s="503"/>
    </row>
    <row r="1208" spans="2:2" ht="12" customHeight="1">
      <c r="B1208" s="503"/>
    </row>
    <row r="1209" spans="2:2" ht="12" customHeight="1">
      <c r="B1209" s="503"/>
    </row>
    <row r="1210" spans="2:2" ht="12" customHeight="1">
      <c r="B1210" s="503"/>
    </row>
    <row r="1211" spans="2:2" ht="12" customHeight="1">
      <c r="B1211" s="503"/>
    </row>
    <row r="1212" spans="2:2" ht="12" customHeight="1">
      <c r="B1212" s="503"/>
    </row>
    <row r="1213" spans="2:2" ht="12" customHeight="1">
      <c r="B1213" s="503"/>
    </row>
    <row r="1214" spans="2:2" ht="12" customHeight="1">
      <c r="B1214" s="503"/>
    </row>
    <row r="1215" spans="2:2" ht="12" customHeight="1">
      <c r="B1215" s="503"/>
    </row>
    <row r="1216" spans="2:2" ht="12" customHeight="1">
      <c r="B1216" s="503"/>
    </row>
    <row r="1217" spans="2:2" ht="12" customHeight="1">
      <c r="B1217" s="503"/>
    </row>
    <row r="1218" spans="2:2" ht="12" customHeight="1">
      <c r="B1218" s="503"/>
    </row>
    <row r="1219" spans="2:2" ht="12" customHeight="1">
      <c r="B1219" s="503"/>
    </row>
    <row r="1220" spans="2:2" ht="12" customHeight="1">
      <c r="B1220" s="503"/>
    </row>
    <row r="1221" spans="2:2" ht="12" customHeight="1">
      <c r="B1221" s="503"/>
    </row>
    <row r="1222" spans="2:2" ht="12" customHeight="1">
      <c r="B1222" s="503"/>
    </row>
    <row r="1223" spans="2:2" ht="12" customHeight="1">
      <c r="B1223" s="503"/>
    </row>
    <row r="1224" spans="2:2" ht="12" customHeight="1">
      <c r="B1224" s="503"/>
    </row>
    <row r="1225" spans="2:2" ht="12" customHeight="1">
      <c r="B1225" s="503"/>
    </row>
    <row r="1226" spans="2:2" ht="12" customHeight="1">
      <c r="B1226" s="503"/>
    </row>
    <row r="1227" spans="2:2" ht="12" customHeight="1">
      <c r="B1227" s="503"/>
    </row>
    <row r="1228" spans="2:2" ht="12" customHeight="1">
      <c r="B1228" s="503"/>
    </row>
    <row r="1229" spans="2:2" ht="12" customHeight="1">
      <c r="B1229" s="503"/>
    </row>
    <row r="1230" spans="2:2" ht="12" customHeight="1">
      <c r="B1230" s="503"/>
    </row>
    <row r="1231" spans="2:2" ht="12" customHeight="1">
      <c r="B1231" s="503"/>
    </row>
    <row r="1232" spans="2:2" ht="12" customHeight="1">
      <c r="B1232" s="503"/>
    </row>
    <row r="1233" spans="2:2" ht="12" customHeight="1">
      <c r="B1233" s="503"/>
    </row>
    <row r="1234" spans="2:2" ht="12" customHeight="1">
      <c r="B1234" s="503"/>
    </row>
    <row r="1235" spans="2:2" ht="12" customHeight="1">
      <c r="B1235" s="503"/>
    </row>
    <row r="1236" spans="2:2" ht="12" customHeight="1">
      <c r="B1236" s="503"/>
    </row>
    <row r="1237" spans="2:2" ht="12" customHeight="1">
      <c r="B1237" s="503"/>
    </row>
    <row r="1238" spans="2:2" ht="12" customHeight="1">
      <c r="B1238" s="503"/>
    </row>
    <row r="1239" spans="2:2" ht="12" customHeight="1">
      <c r="B1239" s="503"/>
    </row>
    <row r="1240" spans="2:2" ht="12" customHeight="1">
      <c r="B1240" s="503"/>
    </row>
    <row r="1241" spans="2:2" ht="12" customHeight="1">
      <c r="B1241" s="503"/>
    </row>
    <row r="1242" spans="2:2" ht="12" customHeight="1">
      <c r="B1242" s="503"/>
    </row>
    <row r="1243" spans="2:2" ht="12" customHeight="1">
      <c r="B1243" s="503"/>
    </row>
    <row r="1244" spans="2:2" ht="12" customHeight="1">
      <c r="B1244" s="503"/>
    </row>
    <row r="1245" spans="2:2" ht="12" customHeight="1">
      <c r="B1245" s="503"/>
    </row>
    <row r="1246" spans="2:2" ht="12" customHeight="1">
      <c r="B1246" s="503"/>
    </row>
    <row r="1247" spans="2:2" ht="12" customHeight="1">
      <c r="B1247" s="503"/>
    </row>
    <row r="1248" spans="2:2" ht="12" customHeight="1">
      <c r="B1248" s="503"/>
    </row>
    <row r="1249" spans="2:2" ht="12" customHeight="1">
      <c r="B1249" s="503"/>
    </row>
    <row r="1250" spans="2:2" ht="12" customHeight="1">
      <c r="B1250" s="503"/>
    </row>
    <row r="1251" spans="2:2" ht="12" customHeight="1">
      <c r="B1251" s="503"/>
    </row>
    <row r="1252" spans="2:2" ht="12" customHeight="1">
      <c r="B1252" s="503"/>
    </row>
    <row r="1253" spans="2:2" ht="12" customHeight="1">
      <c r="B1253" s="503"/>
    </row>
    <row r="1254" spans="2:2" ht="12" customHeight="1">
      <c r="B1254" s="503"/>
    </row>
    <row r="1255" spans="2:2" ht="12" customHeight="1">
      <c r="B1255" s="503"/>
    </row>
    <row r="1256" spans="2:2" ht="12" customHeight="1">
      <c r="B1256" s="503"/>
    </row>
    <row r="1257" spans="2:2" ht="12" customHeight="1">
      <c r="B1257" s="503"/>
    </row>
    <row r="1258" spans="2:2" ht="12" customHeight="1">
      <c r="B1258" s="503"/>
    </row>
    <row r="1259" spans="2:2" ht="12" customHeight="1">
      <c r="B1259" s="503"/>
    </row>
    <row r="1260" spans="2:2" ht="12" customHeight="1">
      <c r="B1260" s="503"/>
    </row>
    <row r="1261" spans="2:2" ht="12" customHeight="1">
      <c r="B1261" s="503"/>
    </row>
    <row r="1262" spans="2:2" ht="12" customHeight="1">
      <c r="B1262" s="503"/>
    </row>
    <row r="1263" spans="2:2" ht="12" customHeight="1">
      <c r="B1263" s="503"/>
    </row>
    <row r="1264" spans="2:2" ht="12" customHeight="1">
      <c r="B1264" s="503"/>
    </row>
    <row r="1265" spans="2:2" ht="12" customHeight="1">
      <c r="B1265" s="503"/>
    </row>
    <row r="1266" spans="2:2" ht="12" customHeight="1">
      <c r="B1266" s="503"/>
    </row>
    <row r="1267" spans="2:2" ht="12" customHeight="1">
      <c r="B1267" s="503"/>
    </row>
    <row r="1268" spans="2:2" ht="12" customHeight="1">
      <c r="B1268" s="503"/>
    </row>
    <row r="1269" spans="2:2" ht="12" customHeight="1">
      <c r="B1269" s="503"/>
    </row>
    <row r="1270" spans="2:2" ht="12" customHeight="1">
      <c r="B1270" s="503"/>
    </row>
    <row r="1271" spans="2:2" ht="12" customHeight="1">
      <c r="B1271" s="503"/>
    </row>
    <row r="1272" spans="2:2" ht="12" customHeight="1">
      <c r="B1272" s="503"/>
    </row>
    <row r="1273" spans="2:2" ht="12" customHeight="1">
      <c r="B1273" s="503"/>
    </row>
    <row r="1274" spans="2:2" ht="12" customHeight="1">
      <c r="B1274" s="503"/>
    </row>
    <row r="1275" spans="2:2" ht="12" customHeight="1">
      <c r="B1275" s="503"/>
    </row>
    <row r="1276" spans="2:2" ht="12" customHeight="1">
      <c r="B1276" s="503"/>
    </row>
    <row r="1277" spans="2:2" ht="12" customHeight="1">
      <c r="B1277" s="503"/>
    </row>
    <row r="1278" spans="2:2" ht="12" customHeight="1">
      <c r="B1278" s="503"/>
    </row>
    <row r="1279" spans="2:2" ht="12" customHeight="1">
      <c r="B1279" s="503"/>
    </row>
    <row r="1280" spans="2:2" ht="12" customHeight="1">
      <c r="B1280" s="503"/>
    </row>
    <row r="1281" spans="2:2" ht="12" customHeight="1">
      <c r="B1281" s="503"/>
    </row>
    <row r="1282" spans="2:2" ht="12" customHeight="1">
      <c r="B1282" s="503"/>
    </row>
    <row r="1283" spans="2:2" ht="12" customHeight="1">
      <c r="B1283" s="503"/>
    </row>
    <row r="1284" spans="2:2" ht="12" customHeight="1">
      <c r="B1284" s="503"/>
    </row>
    <row r="1285" spans="2:2" ht="12" customHeight="1">
      <c r="B1285" s="503"/>
    </row>
    <row r="1286" spans="2:2" ht="12" customHeight="1">
      <c r="B1286" s="503"/>
    </row>
    <row r="1287" spans="2:2" ht="12" customHeight="1">
      <c r="B1287" s="503"/>
    </row>
    <row r="1288" spans="2:2" ht="12" customHeight="1">
      <c r="B1288" s="503"/>
    </row>
    <row r="1289" spans="2:2" ht="12" customHeight="1">
      <c r="B1289" s="503"/>
    </row>
    <row r="1290" spans="2:2" ht="12" customHeight="1">
      <c r="B1290" s="503"/>
    </row>
    <row r="1291" spans="2:2" ht="12" customHeight="1">
      <c r="B1291" s="503"/>
    </row>
    <row r="1292" spans="2:2" ht="12" customHeight="1">
      <c r="B1292" s="503"/>
    </row>
    <row r="1293" spans="2:2" ht="12" customHeight="1">
      <c r="B1293" s="503"/>
    </row>
    <row r="1294" spans="2:2" ht="12" customHeight="1">
      <c r="B1294" s="503"/>
    </row>
    <row r="1295" spans="2:2" ht="12" customHeight="1">
      <c r="B1295" s="503"/>
    </row>
    <row r="1296" spans="2:2" ht="12" customHeight="1">
      <c r="B1296" s="503"/>
    </row>
    <row r="1297" spans="2:2" ht="12" customHeight="1">
      <c r="B1297" s="503"/>
    </row>
    <row r="1298" spans="2:2" ht="12" customHeight="1">
      <c r="B1298" s="503"/>
    </row>
    <row r="1299" spans="2:2" ht="12" customHeight="1">
      <c r="B1299" s="503"/>
    </row>
    <row r="1300" spans="2:2" ht="12" customHeight="1">
      <c r="B1300" s="503"/>
    </row>
    <row r="1301" spans="2:2" ht="12" customHeight="1">
      <c r="B1301" s="503"/>
    </row>
    <row r="1302" spans="2:2" ht="12" customHeight="1">
      <c r="B1302" s="503"/>
    </row>
    <row r="1303" spans="2:2" ht="12" customHeight="1">
      <c r="B1303" s="503"/>
    </row>
    <row r="1304" spans="2:2" ht="12" customHeight="1">
      <c r="B1304" s="503"/>
    </row>
    <row r="1305" spans="2:2" ht="12" customHeight="1">
      <c r="B1305" s="503"/>
    </row>
    <row r="1306" spans="2:2" ht="12" customHeight="1">
      <c r="B1306" s="503"/>
    </row>
    <row r="1307" spans="2:2" ht="12" customHeight="1">
      <c r="B1307" s="503"/>
    </row>
    <row r="1308" spans="2:2" ht="12" customHeight="1">
      <c r="B1308" s="503"/>
    </row>
    <row r="1309" spans="2:2" ht="12" customHeight="1">
      <c r="B1309" s="503"/>
    </row>
    <row r="1310" spans="2:2" ht="12" customHeight="1">
      <c r="B1310" s="503"/>
    </row>
    <row r="1311" spans="2:2" ht="12" customHeight="1">
      <c r="B1311" s="503"/>
    </row>
    <row r="1312" spans="2:2" ht="12" customHeight="1">
      <c r="B1312" s="503"/>
    </row>
    <row r="1313" spans="2:2" ht="12" customHeight="1">
      <c r="B1313" s="503"/>
    </row>
    <row r="1314" spans="2:2" ht="12" customHeight="1">
      <c r="B1314" s="503"/>
    </row>
    <row r="1315" spans="2:2" ht="12" customHeight="1">
      <c r="B1315" s="503"/>
    </row>
    <row r="1316" spans="2:2" ht="12" customHeight="1">
      <c r="B1316" s="503"/>
    </row>
    <row r="1317" spans="2:2" ht="12" customHeight="1">
      <c r="B1317" s="503"/>
    </row>
    <row r="1318" spans="2:2" ht="12" customHeight="1">
      <c r="B1318" s="503"/>
    </row>
    <row r="1319" spans="2:2" ht="12" customHeight="1">
      <c r="B1319" s="503"/>
    </row>
    <row r="1320" spans="2:2" ht="12" customHeight="1">
      <c r="B1320" s="503"/>
    </row>
    <row r="1321" spans="2:2" ht="12" customHeight="1">
      <c r="B1321" s="503"/>
    </row>
    <row r="1322" spans="2:2" ht="12" customHeight="1">
      <c r="B1322" s="503"/>
    </row>
    <row r="1323" spans="2:2" ht="12" customHeight="1">
      <c r="B1323" s="503"/>
    </row>
    <row r="1324" spans="2:2" ht="12" customHeight="1">
      <c r="B1324" s="503"/>
    </row>
    <row r="1325" spans="2:2" ht="12" customHeight="1">
      <c r="B1325" s="503"/>
    </row>
    <row r="1326" spans="2:2" ht="12" customHeight="1">
      <c r="B1326" s="503"/>
    </row>
    <row r="1327" spans="2:2" ht="12" customHeight="1">
      <c r="B1327" s="503"/>
    </row>
    <row r="1328" spans="2:2" ht="12" customHeight="1">
      <c r="B1328" s="503"/>
    </row>
    <row r="1329" spans="2:2" ht="12" customHeight="1">
      <c r="B1329" s="503"/>
    </row>
    <row r="1330" spans="2:2" ht="12" customHeight="1">
      <c r="B1330" s="503"/>
    </row>
    <row r="1331" spans="2:2" ht="12" customHeight="1">
      <c r="B1331" s="503"/>
    </row>
    <row r="1332" spans="2:2" ht="12" customHeight="1">
      <c r="B1332" s="503"/>
    </row>
    <row r="1333" spans="2:2" ht="12" customHeight="1">
      <c r="B1333" s="503"/>
    </row>
    <row r="1334" spans="2:2" ht="12" customHeight="1">
      <c r="B1334" s="503"/>
    </row>
    <row r="1335" spans="2:2" ht="12" customHeight="1">
      <c r="B1335" s="503"/>
    </row>
    <row r="1336" spans="2:2" ht="12" customHeight="1">
      <c r="B1336" s="503"/>
    </row>
    <row r="1337" spans="2:2" ht="12" customHeight="1">
      <c r="B1337" s="503"/>
    </row>
    <row r="1338" spans="2:2" ht="12" customHeight="1">
      <c r="B1338" s="503"/>
    </row>
    <row r="1339" spans="2:2" ht="12" customHeight="1">
      <c r="B1339" s="503"/>
    </row>
    <row r="1340" spans="2:2" ht="12" customHeight="1">
      <c r="B1340" s="503"/>
    </row>
    <row r="1341" spans="2:2" ht="12" customHeight="1">
      <c r="B1341" s="503"/>
    </row>
    <row r="1342" spans="2:2" ht="12" customHeight="1">
      <c r="B1342" s="503"/>
    </row>
    <row r="1343" spans="2:2" ht="12" customHeight="1">
      <c r="B1343" s="503"/>
    </row>
    <row r="1344" spans="2:2" ht="12" customHeight="1">
      <c r="B1344" s="503"/>
    </row>
    <row r="1345" spans="2:2" ht="12" customHeight="1">
      <c r="B1345" s="503"/>
    </row>
    <row r="1346" spans="2:2" ht="12" customHeight="1">
      <c r="B1346" s="503"/>
    </row>
    <row r="1347" spans="2:2" ht="12" customHeight="1">
      <c r="B1347" s="503"/>
    </row>
    <row r="1348" spans="2:2" ht="12" customHeight="1">
      <c r="B1348" s="503"/>
    </row>
    <row r="1349" spans="2:2" ht="12" customHeight="1">
      <c r="B1349" s="503"/>
    </row>
    <row r="1350" spans="2:2" ht="12" customHeight="1">
      <c r="B1350" s="503"/>
    </row>
    <row r="1351" spans="2:2" ht="12" customHeight="1">
      <c r="B1351" s="503"/>
    </row>
    <row r="1352" spans="2:2" ht="12" customHeight="1">
      <c r="B1352" s="503"/>
    </row>
    <row r="1353" spans="2:2" ht="12" customHeight="1">
      <c r="B1353" s="503"/>
    </row>
    <row r="1354" spans="2:2" ht="12" customHeight="1">
      <c r="B1354" s="503"/>
    </row>
    <row r="1355" spans="2:2" ht="12" customHeight="1">
      <c r="B1355" s="503"/>
    </row>
    <row r="1356" spans="2:2" ht="12" customHeight="1">
      <c r="B1356" s="503"/>
    </row>
    <row r="1357" spans="2:2" ht="12" customHeight="1">
      <c r="B1357" s="503"/>
    </row>
    <row r="1358" spans="2:2" ht="12" customHeight="1">
      <c r="B1358" s="503"/>
    </row>
    <row r="1359" spans="2:2" ht="12" customHeight="1">
      <c r="B1359" s="503"/>
    </row>
    <row r="1360" spans="2:2" ht="12" customHeight="1">
      <c r="B1360" s="503"/>
    </row>
    <row r="1361" spans="2:2" ht="12" customHeight="1">
      <c r="B1361" s="503"/>
    </row>
    <row r="1362" spans="2:2" ht="12" customHeight="1">
      <c r="B1362" s="503"/>
    </row>
    <row r="1363" spans="2:2" ht="12" customHeight="1">
      <c r="B1363" s="503"/>
    </row>
    <row r="1364" spans="2:2" ht="12" customHeight="1">
      <c r="B1364" s="503"/>
    </row>
    <row r="1365" spans="2:2" ht="12" customHeight="1">
      <c r="B1365" s="503"/>
    </row>
    <row r="1366" spans="2:2" ht="12" customHeight="1">
      <c r="B1366" s="503"/>
    </row>
    <row r="1367" spans="2:2" ht="12" customHeight="1">
      <c r="B1367" s="503"/>
    </row>
    <row r="1368" spans="2:2" ht="12" customHeight="1">
      <c r="B1368" s="503"/>
    </row>
    <row r="1369" spans="2:2" ht="12" customHeight="1">
      <c r="B1369" s="503"/>
    </row>
    <row r="1370" spans="2:2" ht="12" customHeight="1">
      <c r="B1370" s="503"/>
    </row>
    <row r="1371" spans="2:2" ht="12" customHeight="1">
      <c r="B1371" s="503"/>
    </row>
    <row r="1372" spans="2:2" ht="12" customHeight="1">
      <c r="B1372" s="503"/>
    </row>
    <row r="1373" spans="2:2" ht="12" customHeight="1">
      <c r="B1373" s="503"/>
    </row>
    <row r="1374" spans="2:2" ht="12" customHeight="1">
      <c r="B1374" s="503"/>
    </row>
    <row r="1375" spans="2:2" ht="12" customHeight="1">
      <c r="B1375" s="503"/>
    </row>
    <row r="1376" spans="2:2" ht="12" customHeight="1">
      <c r="B1376" s="503"/>
    </row>
    <row r="1377" spans="2:2" ht="12" customHeight="1">
      <c r="B1377" s="503"/>
    </row>
    <row r="1378" spans="2:2" ht="12" customHeight="1">
      <c r="B1378" s="503"/>
    </row>
    <row r="1379" spans="2:2" ht="12" customHeight="1">
      <c r="B1379" s="503"/>
    </row>
    <row r="1380" spans="2:2" ht="12" customHeight="1">
      <c r="B1380" s="503"/>
    </row>
    <row r="1381" spans="2:2" ht="12" customHeight="1">
      <c r="B1381" s="503"/>
    </row>
    <row r="1382" spans="2:2" ht="12" customHeight="1">
      <c r="B1382" s="503"/>
    </row>
    <row r="1383" spans="2:2" ht="12" customHeight="1">
      <c r="B1383" s="503"/>
    </row>
    <row r="1384" spans="2:2" ht="12" customHeight="1">
      <c r="B1384" s="503"/>
    </row>
    <row r="1385" spans="2:2" ht="12" customHeight="1">
      <c r="B1385" s="503"/>
    </row>
    <row r="1386" spans="2:2" ht="12" customHeight="1">
      <c r="B1386" s="503"/>
    </row>
    <row r="1387" spans="2:2" ht="12" customHeight="1">
      <c r="B1387" s="503"/>
    </row>
    <row r="1388" spans="2:2" ht="12" customHeight="1">
      <c r="B1388" s="503"/>
    </row>
    <row r="1389" spans="2:2" ht="12" customHeight="1">
      <c r="B1389" s="503"/>
    </row>
    <row r="1390" spans="2:2" ht="12" customHeight="1">
      <c r="B1390" s="503"/>
    </row>
    <row r="1391" spans="2:2" ht="12" customHeight="1">
      <c r="B1391" s="503"/>
    </row>
    <row r="1392" spans="2:2" ht="12" customHeight="1">
      <c r="B1392" s="503"/>
    </row>
    <row r="1393" spans="2:2" ht="12" customHeight="1">
      <c r="B1393" s="503"/>
    </row>
    <row r="1394" spans="2:2" ht="12" customHeight="1">
      <c r="B1394" s="503"/>
    </row>
    <row r="1395" spans="2:2" ht="12" customHeight="1">
      <c r="B1395" s="503"/>
    </row>
    <row r="1396" spans="2:2" ht="12" customHeight="1">
      <c r="B1396" s="503"/>
    </row>
    <row r="1397" spans="2:2" ht="12" customHeight="1">
      <c r="B1397" s="503"/>
    </row>
    <row r="1398" spans="2:2" ht="12" customHeight="1">
      <c r="B1398" s="503"/>
    </row>
    <row r="1399" spans="2:2" ht="12" customHeight="1">
      <c r="B1399" s="503"/>
    </row>
    <row r="1400" spans="2:2" ht="12" customHeight="1">
      <c r="B1400" s="503"/>
    </row>
    <row r="1401" spans="2:2" ht="12" customHeight="1">
      <c r="B1401" s="503"/>
    </row>
    <row r="1402" spans="2:2" ht="12" customHeight="1">
      <c r="B1402" s="503"/>
    </row>
    <row r="1403" spans="2:2" ht="12" customHeight="1">
      <c r="B1403" s="503"/>
    </row>
    <row r="1404" spans="2:2" ht="12" customHeight="1">
      <c r="B1404" s="503"/>
    </row>
    <row r="1405" spans="2:2" ht="12" customHeight="1">
      <c r="B1405" s="503"/>
    </row>
    <row r="1406" spans="2:2" ht="12" customHeight="1">
      <c r="B1406" s="503"/>
    </row>
    <row r="1407" spans="2:2" ht="12" customHeight="1">
      <c r="B1407" s="503"/>
    </row>
    <row r="1408" spans="2:2" ht="12" customHeight="1">
      <c r="B1408" s="503"/>
    </row>
    <row r="1409" spans="2:2" ht="12" customHeight="1">
      <c r="B1409" s="503"/>
    </row>
    <row r="1410" spans="2:2" ht="12" customHeight="1">
      <c r="B1410" s="503"/>
    </row>
    <row r="1411" spans="2:2" ht="12" customHeight="1">
      <c r="B1411" s="503"/>
    </row>
    <row r="1412" spans="2:2" ht="12" customHeight="1">
      <c r="B1412" s="503"/>
    </row>
    <row r="1413" spans="2:2" ht="12" customHeight="1">
      <c r="B1413" s="503"/>
    </row>
    <row r="1414" spans="2:2" ht="12" customHeight="1">
      <c r="B1414" s="503"/>
    </row>
    <row r="1415" spans="2:2" ht="12" customHeight="1">
      <c r="B1415" s="503"/>
    </row>
    <row r="1416" spans="2:2" ht="12" customHeight="1">
      <c r="B1416" s="503"/>
    </row>
    <row r="1417" spans="2:2" ht="12" customHeight="1">
      <c r="B1417" s="503"/>
    </row>
    <row r="1418" spans="2:2" ht="12" customHeight="1">
      <c r="B1418" s="503"/>
    </row>
    <row r="1419" spans="2:2" ht="12" customHeight="1">
      <c r="B1419" s="503"/>
    </row>
    <row r="1420" spans="2:2" ht="12" customHeight="1">
      <c r="B1420" s="503"/>
    </row>
    <row r="1421" spans="2:2" ht="12" customHeight="1">
      <c r="B1421" s="503"/>
    </row>
    <row r="1422" spans="2:2" ht="12" customHeight="1">
      <c r="B1422" s="503"/>
    </row>
    <row r="1423" spans="2:2" ht="12" customHeight="1">
      <c r="B1423" s="503"/>
    </row>
    <row r="1424" spans="2:2" ht="12" customHeight="1">
      <c r="B1424" s="503"/>
    </row>
    <row r="1425" spans="2:2" ht="12" customHeight="1">
      <c r="B1425" s="503"/>
    </row>
    <row r="1426" spans="2:2" ht="12" customHeight="1">
      <c r="B1426" s="503"/>
    </row>
    <row r="1427" spans="2:2" ht="12" customHeight="1">
      <c r="B1427" s="503"/>
    </row>
    <row r="1428" spans="2:2" ht="12" customHeight="1">
      <c r="B1428" s="503"/>
    </row>
    <row r="1429" spans="2:2" ht="12" customHeight="1">
      <c r="B1429" s="503"/>
    </row>
    <row r="1430" spans="2:2" ht="12" customHeight="1">
      <c r="B1430" s="503"/>
    </row>
    <row r="1431" spans="2:2" ht="12" customHeight="1">
      <c r="B1431" s="503"/>
    </row>
    <row r="1432" spans="2:2" ht="12" customHeight="1">
      <c r="B1432" s="503"/>
    </row>
    <row r="1433" spans="2:2" ht="12" customHeight="1">
      <c r="B1433" s="503"/>
    </row>
    <row r="1434" spans="2:2" ht="12" customHeight="1">
      <c r="B1434" s="503"/>
    </row>
    <row r="1435" spans="2:2" ht="12" customHeight="1">
      <c r="B1435" s="503"/>
    </row>
    <row r="1436" spans="2:2" ht="12" customHeight="1">
      <c r="B1436" s="503"/>
    </row>
    <row r="1437" spans="2:2" ht="12" customHeight="1">
      <c r="B1437" s="503"/>
    </row>
    <row r="1438" spans="2:2" ht="12" customHeight="1">
      <c r="B1438" s="503"/>
    </row>
    <row r="1439" spans="2:2" ht="12" customHeight="1">
      <c r="B1439" s="503"/>
    </row>
    <row r="1440" spans="2:2" ht="12" customHeight="1">
      <c r="B1440" s="503"/>
    </row>
    <row r="1441" spans="2:2" ht="12" customHeight="1">
      <c r="B1441" s="503"/>
    </row>
    <row r="1442" spans="2:2" ht="12" customHeight="1">
      <c r="B1442" s="503"/>
    </row>
    <row r="1443" spans="2:2" ht="12" customHeight="1">
      <c r="B1443" s="503"/>
    </row>
    <row r="1444" spans="2:2" ht="12" customHeight="1">
      <c r="B1444" s="503"/>
    </row>
    <row r="1445" spans="2:2" ht="12" customHeight="1">
      <c r="B1445" s="503"/>
    </row>
    <row r="1446" spans="2:2" ht="12" customHeight="1">
      <c r="B1446" s="503"/>
    </row>
    <row r="1447" spans="2:2" ht="12" customHeight="1">
      <c r="B1447" s="503"/>
    </row>
    <row r="1448" spans="2:2" ht="12" customHeight="1">
      <c r="B1448" s="503"/>
    </row>
    <row r="1449" spans="2:2" ht="12" customHeight="1">
      <c r="B1449" s="503"/>
    </row>
    <row r="1450" spans="2:2" ht="12" customHeight="1">
      <c r="B1450" s="503"/>
    </row>
    <row r="1451" spans="2:2" ht="12" customHeight="1">
      <c r="B1451" s="503"/>
    </row>
    <row r="1452" spans="2:2" ht="12" customHeight="1">
      <c r="B1452" s="503"/>
    </row>
    <row r="1453" spans="2:2" ht="12" customHeight="1">
      <c r="B1453" s="503"/>
    </row>
    <row r="1454" spans="2:2" ht="12" customHeight="1">
      <c r="B1454" s="503"/>
    </row>
    <row r="1455" spans="2:2" ht="12" customHeight="1">
      <c r="B1455" s="503"/>
    </row>
    <row r="1456" spans="2:2" ht="12" customHeight="1">
      <c r="B1456" s="503"/>
    </row>
    <row r="1457" spans="2:2" ht="12" customHeight="1">
      <c r="B1457" s="503"/>
    </row>
    <row r="1458" spans="2:2" ht="12" customHeight="1">
      <c r="B1458" s="503"/>
    </row>
    <row r="1459" spans="2:2" ht="12" customHeight="1">
      <c r="B1459" s="503"/>
    </row>
    <row r="1460" spans="2:2" ht="12" customHeight="1">
      <c r="B1460" s="503"/>
    </row>
    <row r="1461" spans="2:2" ht="12" customHeight="1">
      <c r="B1461" s="503"/>
    </row>
    <row r="1462" spans="2:2" ht="12" customHeight="1">
      <c r="B1462" s="503"/>
    </row>
    <row r="1463" spans="2:2" ht="12" customHeight="1">
      <c r="B1463" s="503"/>
    </row>
    <row r="1464" spans="2:2" ht="12" customHeight="1">
      <c r="B1464" s="503"/>
    </row>
    <row r="1465" spans="2:2" ht="12" customHeight="1">
      <c r="B1465" s="503"/>
    </row>
    <row r="1466" spans="2:2" ht="12" customHeight="1">
      <c r="B1466" s="503"/>
    </row>
    <row r="1467" spans="2:2" ht="12" customHeight="1">
      <c r="B1467" s="503"/>
    </row>
    <row r="1468" spans="2:2" ht="12" customHeight="1">
      <c r="B1468" s="503"/>
    </row>
    <row r="1469" spans="2:2" ht="12" customHeight="1">
      <c r="B1469" s="503"/>
    </row>
    <row r="1470" spans="2:2" ht="12" customHeight="1">
      <c r="B1470" s="503"/>
    </row>
    <row r="1471" spans="2:2" ht="12" customHeight="1">
      <c r="B1471" s="503"/>
    </row>
    <row r="1472" spans="2:2" ht="12" customHeight="1">
      <c r="B1472" s="503"/>
    </row>
    <row r="1473" spans="2:2" ht="12" customHeight="1">
      <c r="B1473" s="503"/>
    </row>
    <row r="1474" spans="2:2" ht="12" customHeight="1">
      <c r="B1474" s="503"/>
    </row>
    <row r="1475" spans="2:2" ht="12" customHeight="1">
      <c r="B1475" s="503"/>
    </row>
    <row r="1476" spans="2:2" ht="12" customHeight="1">
      <c r="B1476" s="503"/>
    </row>
    <row r="1477" spans="2:2" ht="12" customHeight="1">
      <c r="B1477" s="503"/>
    </row>
    <row r="1478" spans="2:2" ht="12" customHeight="1">
      <c r="B1478" s="503"/>
    </row>
    <row r="1479" spans="2:2" ht="12" customHeight="1">
      <c r="B1479" s="503"/>
    </row>
    <row r="1480" spans="2:2" ht="12" customHeight="1">
      <c r="B1480" s="503"/>
    </row>
    <row r="1481" spans="2:2" ht="12" customHeight="1">
      <c r="B1481" s="503"/>
    </row>
    <row r="1482" spans="2:2" ht="12" customHeight="1">
      <c r="B1482" s="503"/>
    </row>
    <row r="1483" spans="2:2" ht="12" customHeight="1">
      <c r="B1483" s="503"/>
    </row>
    <row r="1484" spans="2:2" ht="12" customHeight="1">
      <c r="B1484" s="503"/>
    </row>
    <row r="1485" spans="2:2" ht="12" customHeight="1">
      <c r="B1485" s="503"/>
    </row>
    <row r="1486" spans="2:2" ht="12" customHeight="1">
      <c r="B1486" s="503"/>
    </row>
    <row r="1487" spans="2:2" ht="12" customHeight="1">
      <c r="B1487" s="503"/>
    </row>
    <row r="1488" spans="2:2" ht="12" customHeight="1">
      <c r="B1488" s="503"/>
    </row>
    <row r="1489" spans="2:2" ht="12" customHeight="1">
      <c r="B1489" s="503"/>
    </row>
    <row r="1490" spans="2:2" ht="12" customHeight="1">
      <c r="B1490" s="503"/>
    </row>
    <row r="1491" spans="2:2" ht="12" customHeight="1">
      <c r="B1491" s="503"/>
    </row>
    <row r="1492" spans="2:2" ht="12" customHeight="1">
      <c r="B1492" s="503"/>
    </row>
    <row r="1493" spans="2:2" ht="12" customHeight="1">
      <c r="B1493" s="503"/>
    </row>
    <row r="1494" spans="2:2" ht="12" customHeight="1">
      <c r="B1494" s="503"/>
    </row>
    <row r="1495" spans="2:2" ht="12" customHeight="1">
      <c r="B1495" s="503"/>
    </row>
    <row r="1496" spans="2:2" ht="12" customHeight="1">
      <c r="B1496" s="503"/>
    </row>
    <row r="1497" spans="2:2" ht="12" customHeight="1">
      <c r="B1497" s="503"/>
    </row>
    <row r="1498" spans="2:2" ht="12" customHeight="1">
      <c r="B1498" s="503"/>
    </row>
    <row r="1499" spans="2:2" ht="12" customHeight="1">
      <c r="B1499" s="503"/>
    </row>
    <row r="1500" spans="2:2" ht="12" customHeight="1">
      <c r="B1500" s="503"/>
    </row>
    <row r="1501" spans="2:2" ht="12" customHeight="1">
      <c r="B1501" s="503"/>
    </row>
    <row r="1502" spans="2:2" ht="12" customHeight="1">
      <c r="B1502" s="503"/>
    </row>
    <row r="1503" spans="2:2" ht="12" customHeight="1">
      <c r="B1503" s="503"/>
    </row>
    <row r="1504" spans="2:2" ht="12" customHeight="1">
      <c r="B1504" s="503"/>
    </row>
    <row r="1505" spans="2:2" ht="12" customHeight="1">
      <c r="B1505" s="503"/>
    </row>
    <row r="1506" spans="2:2" ht="12" customHeight="1">
      <c r="B1506" s="503"/>
    </row>
    <row r="1507" spans="2:2" ht="12" customHeight="1">
      <c r="B1507" s="503"/>
    </row>
    <row r="1508" spans="2:2" ht="12" customHeight="1">
      <c r="B1508" s="503"/>
    </row>
    <row r="1509" spans="2:2" ht="12" customHeight="1">
      <c r="B1509" s="503"/>
    </row>
    <row r="1510" spans="2:2" ht="12" customHeight="1">
      <c r="B1510" s="503"/>
    </row>
    <row r="1511" spans="2:2" ht="12" customHeight="1">
      <c r="B1511" s="503"/>
    </row>
    <row r="1512" spans="2:2" ht="12" customHeight="1">
      <c r="B1512" s="503"/>
    </row>
    <row r="1513" spans="2:2" ht="12" customHeight="1">
      <c r="B1513" s="503"/>
    </row>
    <row r="1514" spans="2:2" ht="12" customHeight="1">
      <c r="B1514" s="503"/>
    </row>
    <row r="1515" spans="2:2" ht="12" customHeight="1">
      <c r="B1515" s="503"/>
    </row>
    <row r="1516" spans="2:2" ht="12" customHeight="1">
      <c r="B1516" s="503"/>
    </row>
    <row r="1517" spans="2:2" ht="12" customHeight="1">
      <c r="B1517" s="503"/>
    </row>
    <row r="1518" spans="2:2" ht="12" customHeight="1">
      <c r="B1518" s="503"/>
    </row>
    <row r="1519" spans="2:2" ht="12" customHeight="1">
      <c r="B1519" s="503"/>
    </row>
    <row r="1520" spans="2:2" ht="12" customHeight="1">
      <c r="B1520" s="503"/>
    </row>
    <row r="1521" spans="2:2" ht="12" customHeight="1">
      <c r="B1521" s="503"/>
    </row>
    <row r="1522" spans="2:2" ht="12" customHeight="1">
      <c r="B1522" s="503"/>
    </row>
    <row r="1523" spans="2:2" ht="12" customHeight="1">
      <c r="B1523" s="503"/>
    </row>
    <row r="1524" spans="2:2" ht="12" customHeight="1">
      <c r="B1524" s="503"/>
    </row>
    <row r="1525" spans="2:2" ht="12" customHeight="1">
      <c r="B1525" s="503"/>
    </row>
    <row r="1526" spans="2:2" ht="12" customHeight="1">
      <c r="B1526" s="503"/>
    </row>
    <row r="1527" spans="2:2" ht="12" customHeight="1">
      <c r="B1527" s="503"/>
    </row>
    <row r="1528" spans="2:2" ht="12" customHeight="1">
      <c r="B1528" s="503"/>
    </row>
    <row r="1529" spans="2:2" ht="12" customHeight="1">
      <c r="B1529" s="503"/>
    </row>
    <row r="1530" spans="2:2" ht="12" customHeight="1">
      <c r="B1530" s="503"/>
    </row>
    <row r="1531" spans="2:2" ht="12" customHeight="1">
      <c r="B1531" s="503"/>
    </row>
    <row r="1532" spans="2:2" ht="12" customHeight="1">
      <c r="B1532" s="503"/>
    </row>
    <row r="1533" spans="2:2" ht="12" customHeight="1">
      <c r="B1533" s="503"/>
    </row>
    <row r="1534" spans="2:2" ht="12" customHeight="1">
      <c r="B1534" s="503"/>
    </row>
    <row r="1535" spans="2:2" ht="12" customHeight="1">
      <c r="B1535" s="503"/>
    </row>
    <row r="1536" spans="2:2" ht="12" customHeight="1">
      <c r="B1536" s="503"/>
    </row>
    <row r="1537" spans="2:2" ht="12" customHeight="1">
      <c r="B1537" s="503"/>
    </row>
    <row r="1538" spans="2:2" ht="12" customHeight="1">
      <c r="B1538" s="503"/>
    </row>
    <row r="1539" spans="2:2" ht="12" customHeight="1">
      <c r="B1539" s="503"/>
    </row>
    <row r="1540" spans="2:2" ht="12" customHeight="1">
      <c r="B1540" s="503"/>
    </row>
    <row r="1541" spans="2:2" ht="12" customHeight="1">
      <c r="B1541" s="503"/>
    </row>
    <row r="1542" spans="2:2" ht="12" customHeight="1">
      <c r="B1542" s="503"/>
    </row>
    <row r="1543" spans="2:2" ht="12" customHeight="1">
      <c r="B1543" s="503"/>
    </row>
    <row r="1544" spans="2:2" ht="12" customHeight="1">
      <c r="B1544" s="503"/>
    </row>
    <row r="1545" spans="2:2" ht="12" customHeight="1">
      <c r="B1545" s="503"/>
    </row>
    <row r="1546" spans="2:2" ht="12" customHeight="1">
      <c r="B1546" s="503"/>
    </row>
    <row r="1547" spans="2:2" ht="12" customHeight="1">
      <c r="B1547" s="503"/>
    </row>
    <row r="1548" spans="2:2" ht="12" customHeight="1">
      <c r="B1548" s="503"/>
    </row>
    <row r="1549" spans="2:2" ht="12" customHeight="1">
      <c r="B1549" s="503"/>
    </row>
    <row r="1550" spans="2:2" ht="12" customHeight="1">
      <c r="B1550" s="503"/>
    </row>
    <row r="1551" spans="2:2" ht="12" customHeight="1">
      <c r="B1551" s="503"/>
    </row>
    <row r="1552" spans="2:2" ht="12" customHeight="1">
      <c r="B1552" s="503"/>
    </row>
    <row r="1553" spans="2:2" ht="12" customHeight="1">
      <c r="B1553" s="503"/>
    </row>
    <row r="1554" spans="2:2" ht="12" customHeight="1">
      <c r="B1554" s="503"/>
    </row>
    <row r="1555" spans="2:2" ht="12" customHeight="1">
      <c r="B1555" s="503"/>
    </row>
    <row r="1556" spans="2:2" ht="12" customHeight="1">
      <c r="B1556" s="503"/>
    </row>
    <row r="1557" spans="2:2" ht="12" customHeight="1">
      <c r="B1557" s="503"/>
    </row>
    <row r="1558" spans="2:2" ht="12" customHeight="1">
      <c r="B1558" s="503"/>
    </row>
    <row r="1559" spans="2:2" ht="12" customHeight="1">
      <c r="B1559" s="503"/>
    </row>
    <row r="1560" spans="2:2" ht="12" customHeight="1">
      <c r="B1560" s="503"/>
    </row>
    <row r="1561" spans="2:2" ht="12" customHeight="1">
      <c r="B1561" s="503"/>
    </row>
    <row r="1562" spans="2:2" ht="12" customHeight="1">
      <c r="B1562" s="503"/>
    </row>
    <row r="1563" spans="2:2" ht="12" customHeight="1">
      <c r="B1563" s="503"/>
    </row>
    <row r="1564" spans="2:2" ht="12" customHeight="1">
      <c r="B1564" s="503"/>
    </row>
    <row r="1565" spans="2:2" ht="12" customHeight="1">
      <c r="B1565" s="503"/>
    </row>
    <row r="1566" spans="2:2" ht="12" customHeight="1">
      <c r="B1566" s="503"/>
    </row>
    <row r="1567" spans="2:2" ht="12" customHeight="1">
      <c r="B1567" s="503"/>
    </row>
    <row r="1568" spans="2:2" ht="12" customHeight="1">
      <c r="B1568" s="503"/>
    </row>
    <row r="1569" spans="2:2" ht="12" customHeight="1">
      <c r="B1569" s="503"/>
    </row>
    <row r="1570" spans="2:2" ht="12" customHeight="1">
      <c r="B1570" s="503"/>
    </row>
    <row r="1571" spans="2:2" ht="12" customHeight="1">
      <c r="B1571" s="503"/>
    </row>
    <row r="1572" spans="2:2" ht="12" customHeight="1">
      <c r="B1572" s="503"/>
    </row>
    <row r="1573" spans="2:2" ht="12" customHeight="1">
      <c r="B1573" s="503"/>
    </row>
    <row r="1574" spans="2:2" ht="12" customHeight="1">
      <c r="B1574" s="503"/>
    </row>
    <row r="1575" spans="2:2" ht="12" customHeight="1">
      <c r="B1575" s="503"/>
    </row>
    <row r="1576" spans="2:2" ht="12" customHeight="1">
      <c r="B1576" s="503"/>
    </row>
    <row r="1577" spans="2:2" ht="12" customHeight="1">
      <c r="B1577" s="503"/>
    </row>
    <row r="1578" spans="2:2" ht="12" customHeight="1">
      <c r="B1578" s="503"/>
    </row>
    <row r="1579" spans="2:2" ht="12" customHeight="1">
      <c r="B1579" s="503"/>
    </row>
    <row r="1580" spans="2:2" ht="12" customHeight="1">
      <c r="B1580" s="503"/>
    </row>
    <row r="1581" spans="2:2" ht="12" customHeight="1">
      <c r="B1581" s="503"/>
    </row>
    <row r="1582" spans="2:2" ht="12" customHeight="1">
      <c r="B1582" s="503"/>
    </row>
    <row r="1583" spans="2:2" ht="12" customHeight="1">
      <c r="B1583" s="503"/>
    </row>
    <row r="1584" spans="2:2" ht="12" customHeight="1">
      <c r="B1584" s="503"/>
    </row>
    <row r="1585" spans="2:2" ht="12" customHeight="1">
      <c r="B1585" s="503"/>
    </row>
    <row r="1586" spans="2:2" ht="12" customHeight="1">
      <c r="B1586" s="503"/>
    </row>
    <row r="1587" spans="2:2" ht="12" customHeight="1">
      <c r="B1587" s="503"/>
    </row>
    <row r="1588" spans="2:2" ht="12" customHeight="1">
      <c r="B1588" s="503"/>
    </row>
    <row r="1589" spans="2:2" ht="12" customHeight="1">
      <c r="B1589" s="503"/>
    </row>
    <row r="1590" spans="2:2" ht="12" customHeight="1">
      <c r="B1590" s="503"/>
    </row>
    <row r="1591" spans="2:2" ht="12" customHeight="1">
      <c r="B1591" s="503"/>
    </row>
    <row r="1592" spans="2:2" ht="12" customHeight="1">
      <c r="B1592" s="503"/>
    </row>
    <row r="1593" spans="2:2" ht="12" customHeight="1">
      <c r="B1593" s="503"/>
    </row>
    <row r="1594" spans="2:2" ht="12" customHeight="1">
      <c r="B1594" s="503"/>
    </row>
    <row r="1595" spans="2:2" ht="12" customHeight="1">
      <c r="B1595" s="503"/>
    </row>
    <row r="1596" spans="2:2" ht="12" customHeight="1">
      <c r="B1596" s="503"/>
    </row>
    <row r="1597" spans="2:2" ht="12" customHeight="1">
      <c r="B1597" s="503"/>
    </row>
    <row r="1598" spans="2:2" ht="12" customHeight="1">
      <c r="B1598" s="503"/>
    </row>
    <row r="1599" spans="2:2" ht="12" customHeight="1">
      <c r="B1599" s="503"/>
    </row>
    <row r="1600" spans="2:2" ht="12" customHeight="1">
      <c r="B1600" s="503"/>
    </row>
    <row r="1601" spans="2:2" ht="12" customHeight="1">
      <c r="B1601" s="503"/>
    </row>
    <row r="1602" spans="2:2" ht="12" customHeight="1">
      <c r="B1602" s="503"/>
    </row>
    <row r="1603" spans="2:2" ht="12" customHeight="1">
      <c r="B1603" s="503"/>
    </row>
    <row r="1604" spans="2:2" ht="12" customHeight="1">
      <c r="B1604" s="503"/>
    </row>
    <row r="1605" spans="2:2" ht="12" customHeight="1">
      <c r="B1605" s="503"/>
    </row>
    <row r="1606" spans="2:2" ht="12" customHeight="1">
      <c r="B1606" s="503"/>
    </row>
    <row r="1607" spans="2:2" ht="12" customHeight="1">
      <c r="B1607" s="503"/>
    </row>
    <row r="1608" spans="2:2" ht="12" customHeight="1">
      <c r="B1608" s="503"/>
    </row>
    <row r="1609" spans="2:2" ht="12" customHeight="1">
      <c r="B1609" s="503"/>
    </row>
    <row r="1610" spans="2:2" ht="12" customHeight="1">
      <c r="B1610" s="503"/>
    </row>
    <row r="1611" spans="2:2" ht="12" customHeight="1">
      <c r="B1611" s="503"/>
    </row>
    <row r="1612" spans="2:2" ht="12" customHeight="1">
      <c r="B1612" s="503"/>
    </row>
    <row r="1613" spans="2:2" ht="12" customHeight="1">
      <c r="B1613" s="503"/>
    </row>
    <row r="1614" spans="2:2" ht="12" customHeight="1">
      <c r="B1614" s="503"/>
    </row>
    <row r="1615" spans="2:2" ht="12" customHeight="1">
      <c r="B1615" s="503"/>
    </row>
    <row r="1616" spans="2:2" ht="12" customHeight="1">
      <c r="B1616" s="503"/>
    </row>
    <row r="1617" spans="2:2" ht="12" customHeight="1">
      <c r="B1617" s="503"/>
    </row>
    <row r="1618" spans="2:2" ht="12" customHeight="1">
      <c r="B1618" s="503"/>
    </row>
    <row r="1619" spans="2:2" ht="12" customHeight="1">
      <c r="B1619" s="503"/>
    </row>
    <row r="1620" spans="2:2" ht="12" customHeight="1">
      <c r="B1620" s="503"/>
    </row>
    <row r="1621" spans="2:2" ht="12" customHeight="1">
      <c r="B1621" s="503"/>
    </row>
    <row r="1622" spans="2:2" ht="12" customHeight="1">
      <c r="B1622" s="503"/>
    </row>
    <row r="1623" spans="2:2" ht="12" customHeight="1">
      <c r="B1623" s="503"/>
    </row>
    <row r="1624" spans="2:2" ht="12" customHeight="1">
      <c r="B1624" s="503"/>
    </row>
    <row r="1625" spans="2:2" ht="12" customHeight="1">
      <c r="B1625" s="503"/>
    </row>
    <row r="1626" spans="2:2" ht="12" customHeight="1">
      <c r="B1626" s="503"/>
    </row>
    <row r="1627" spans="2:2" ht="12" customHeight="1">
      <c r="B1627" s="503"/>
    </row>
    <row r="1628" spans="2:2" ht="12" customHeight="1">
      <c r="B1628" s="503"/>
    </row>
    <row r="1629" spans="2:2" ht="12" customHeight="1">
      <c r="B1629" s="503"/>
    </row>
    <row r="1630" spans="2:2" ht="12" customHeight="1">
      <c r="B1630" s="503"/>
    </row>
    <row r="1631" spans="2:2" ht="12" customHeight="1">
      <c r="B1631" s="503"/>
    </row>
    <row r="1632" spans="2:2" ht="12" customHeight="1">
      <c r="B1632" s="503"/>
    </row>
    <row r="1633" spans="2:2" ht="12" customHeight="1">
      <c r="B1633" s="503"/>
    </row>
    <row r="1634" spans="2:2" ht="12" customHeight="1">
      <c r="B1634" s="503"/>
    </row>
    <row r="1635" spans="2:2" ht="12" customHeight="1">
      <c r="B1635" s="503"/>
    </row>
    <row r="1636" spans="2:2" ht="12" customHeight="1">
      <c r="B1636" s="503"/>
    </row>
    <row r="1637" spans="2:2" ht="12" customHeight="1">
      <c r="B1637" s="503"/>
    </row>
    <row r="1638" spans="2:2" ht="12" customHeight="1">
      <c r="B1638" s="503"/>
    </row>
    <row r="1639" spans="2:2" ht="12" customHeight="1">
      <c r="B1639" s="503"/>
    </row>
    <row r="1640" spans="2:2" ht="12" customHeight="1">
      <c r="B1640" s="503"/>
    </row>
    <row r="1641" spans="2:2" ht="12" customHeight="1">
      <c r="B1641" s="503"/>
    </row>
    <row r="1642" spans="2:2" ht="12" customHeight="1">
      <c r="B1642" s="503"/>
    </row>
    <row r="1643" spans="2:2" ht="12" customHeight="1">
      <c r="B1643" s="503"/>
    </row>
    <row r="1644" spans="2:2" ht="12" customHeight="1">
      <c r="B1644" s="503"/>
    </row>
    <row r="1645" spans="2:2" ht="12" customHeight="1">
      <c r="B1645" s="503"/>
    </row>
    <row r="1646" spans="2:2" ht="12" customHeight="1">
      <c r="B1646" s="503"/>
    </row>
    <row r="1647" spans="2:2" ht="12" customHeight="1">
      <c r="B1647" s="503"/>
    </row>
    <row r="1648" spans="2:2" ht="12" customHeight="1">
      <c r="B1648" s="503"/>
    </row>
    <row r="1649" spans="2:2" ht="12" customHeight="1">
      <c r="B1649" s="503"/>
    </row>
    <row r="1650" spans="2:2" ht="12" customHeight="1">
      <c r="B1650" s="503"/>
    </row>
    <row r="1651" spans="2:2" ht="12" customHeight="1">
      <c r="B1651" s="503"/>
    </row>
    <row r="1652" spans="2:2" ht="12" customHeight="1">
      <c r="B1652" s="503"/>
    </row>
    <row r="1653" spans="2:2" ht="12" customHeight="1">
      <c r="B1653" s="503"/>
    </row>
    <row r="1654" spans="2:2" ht="12" customHeight="1">
      <c r="B1654" s="503"/>
    </row>
    <row r="1655" spans="2:2" ht="12" customHeight="1">
      <c r="B1655" s="503"/>
    </row>
    <row r="1656" spans="2:2" ht="12" customHeight="1">
      <c r="B1656" s="503"/>
    </row>
    <row r="1657" spans="2:2" ht="12" customHeight="1">
      <c r="B1657" s="503"/>
    </row>
    <row r="1658" spans="2:2" ht="12" customHeight="1">
      <c r="B1658" s="503"/>
    </row>
    <row r="1659" spans="2:2" ht="12" customHeight="1">
      <c r="B1659" s="503"/>
    </row>
    <row r="1660" spans="2:2" ht="12" customHeight="1">
      <c r="B1660" s="503"/>
    </row>
    <row r="1661" spans="2:2" ht="12" customHeight="1">
      <c r="B1661" s="503"/>
    </row>
    <row r="1662" spans="2:2" ht="12" customHeight="1">
      <c r="B1662" s="503"/>
    </row>
    <row r="1663" spans="2:2" ht="12" customHeight="1">
      <c r="B1663" s="503"/>
    </row>
    <row r="1664" spans="2:2" ht="12" customHeight="1">
      <c r="B1664" s="503"/>
    </row>
    <row r="1665" spans="2:2" ht="12" customHeight="1">
      <c r="B1665" s="503"/>
    </row>
    <row r="1666" spans="2:2" ht="12" customHeight="1">
      <c r="B1666" s="503"/>
    </row>
    <row r="1667" spans="2:2" ht="12" customHeight="1">
      <c r="B1667" s="503"/>
    </row>
    <row r="1668" spans="2:2" ht="12" customHeight="1">
      <c r="B1668" s="503"/>
    </row>
    <row r="1669" spans="2:2" ht="12" customHeight="1">
      <c r="B1669" s="503"/>
    </row>
    <row r="1670" spans="2:2" ht="12" customHeight="1">
      <c r="B1670" s="503"/>
    </row>
    <row r="1671" spans="2:2" ht="12" customHeight="1">
      <c r="B1671" s="503"/>
    </row>
    <row r="1672" spans="2:2" ht="12" customHeight="1">
      <c r="B1672" s="503"/>
    </row>
    <row r="1673" spans="2:2" ht="12" customHeight="1">
      <c r="B1673" s="503"/>
    </row>
    <row r="1674" spans="2:2" ht="12" customHeight="1">
      <c r="B1674" s="503"/>
    </row>
    <row r="1675" spans="2:2" ht="12" customHeight="1">
      <c r="B1675" s="503"/>
    </row>
    <row r="1676" spans="2:2" ht="12" customHeight="1">
      <c r="B1676" s="503"/>
    </row>
    <row r="1677" spans="2:2" ht="12" customHeight="1">
      <c r="B1677" s="503"/>
    </row>
    <row r="1678" spans="2:2" ht="12" customHeight="1">
      <c r="B1678" s="503"/>
    </row>
    <row r="1679" spans="2:2" ht="12" customHeight="1">
      <c r="B1679" s="503"/>
    </row>
    <row r="1680" spans="2:2" ht="12" customHeight="1">
      <c r="B1680" s="503"/>
    </row>
    <row r="1681" spans="2:2" ht="12" customHeight="1">
      <c r="B1681" s="503"/>
    </row>
    <row r="1682" spans="2:2" ht="12" customHeight="1">
      <c r="B1682" s="503"/>
    </row>
    <row r="1683" spans="2:2" ht="12" customHeight="1">
      <c r="B1683" s="503"/>
    </row>
    <row r="1684" spans="2:2" ht="12" customHeight="1">
      <c r="B1684" s="503"/>
    </row>
    <row r="1685" spans="2:2" ht="12" customHeight="1">
      <c r="B1685" s="503"/>
    </row>
    <row r="1686" spans="2:2" ht="12" customHeight="1">
      <c r="B1686" s="503"/>
    </row>
    <row r="1687" spans="2:2" ht="12" customHeight="1">
      <c r="B1687" s="503"/>
    </row>
    <row r="1688" spans="2:2" ht="12" customHeight="1">
      <c r="B1688" s="503"/>
    </row>
    <row r="1689" spans="2:2" ht="12" customHeight="1">
      <c r="B1689" s="503"/>
    </row>
    <row r="1690" spans="2:2" ht="12" customHeight="1">
      <c r="B1690" s="503"/>
    </row>
    <row r="1691" spans="2:2" ht="12" customHeight="1">
      <c r="B1691" s="503"/>
    </row>
    <row r="1692" spans="2:2" ht="12" customHeight="1">
      <c r="B1692" s="503"/>
    </row>
    <row r="1693" spans="2:2" ht="12" customHeight="1">
      <c r="B1693" s="503"/>
    </row>
    <row r="1694" spans="2:2" ht="12" customHeight="1">
      <c r="B1694" s="503"/>
    </row>
    <row r="1695" spans="2:2" ht="12" customHeight="1">
      <c r="B1695" s="503"/>
    </row>
    <row r="1696" spans="2:2" ht="12" customHeight="1">
      <c r="B1696" s="503"/>
    </row>
    <row r="1697" spans="2:2" ht="12" customHeight="1">
      <c r="B1697" s="503"/>
    </row>
    <row r="1698" spans="2:2" ht="12" customHeight="1">
      <c r="B1698" s="503"/>
    </row>
    <row r="1699" spans="2:2" ht="12" customHeight="1">
      <c r="B1699" s="503"/>
    </row>
    <row r="1700" spans="2:2" ht="12" customHeight="1">
      <c r="B1700" s="503"/>
    </row>
    <row r="1701" spans="2:2" ht="12" customHeight="1">
      <c r="B1701" s="503"/>
    </row>
    <row r="1702" spans="2:2" ht="12" customHeight="1">
      <c r="B1702" s="503"/>
    </row>
    <row r="1703" spans="2:2" ht="12" customHeight="1">
      <c r="B1703" s="503"/>
    </row>
    <row r="1704" spans="2:2" ht="12" customHeight="1">
      <c r="B1704" s="503"/>
    </row>
    <row r="1705" spans="2:2" ht="12" customHeight="1">
      <c r="B1705" s="503"/>
    </row>
    <row r="1706" spans="2:2" ht="12" customHeight="1">
      <c r="B1706" s="503"/>
    </row>
    <row r="1707" spans="2:2" ht="12" customHeight="1">
      <c r="B1707" s="503"/>
    </row>
    <row r="1708" spans="2:2" ht="12" customHeight="1">
      <c r="B1708" s="503"/>
    </row>
    <row r="1709" spans="2:2" ht="12" customHeight="1">
      <c r="B1709" s="503"/>
    </row>
    <row r="1710" spans="2:2" ht="12" customHeight="1">
      <c r="B1710" s="503"/>
    </row>
    <row r="1711" spans="2:2" ht="12" customHeight="1">
      <c r="B1711" s="503"/>
    </row>
    <row r="1712" spans="2:2" ht="12" customHeight="1">
      <c r="B1712" s="503"/>
    </row>
    <row r="1713" spans="2:2" ht="12" customHeight="1">
      <c r="B1713" s="503"/>
    </row>
    <row r="1714" spans="2:2" ht="12" customHeight="1">
      <c r="B1714" s="503"/>
    </row>
    <row r="1715" spans="2:2" ht="12" customHeight="1">
      <c r="B1715" s="503"/>
    </row>
    <row r="1716" spans="2:2" ht="12" customHeight="1">
      <c r="B1716" s="503"/>
    </row>
    <row r="1717" spans="2:2" ht="12" customHeight="1">
      <c r="B1717" s="503"/>
    </row>
    <row r="1718" spans="2:2" ht="12" customHeight="1">
      <c r="B1718" s="503"/>
    </row>
    <row r="1719" spans="2:2" ht="12" customHeight="1">
      <c r="B1719" s="503"/>
    </row>
    <row r="1720" spans="2:2" ht="12" customHeight="1">
      <c r="B1720" s="503"/>
    </row>
    <row r="1721" spans="2:2" ht="12" customHeight="1">
      <c r="B1721" s="503"/>
    </row>
    <row r="1722" spans="2:2" ht="12" customHeight="1">
      <c r="B1722" s="503"/>
    </row>
    <row r="1723" spans="2:2" ht="12" customHeight="1">
      <c r="B1723" s="503"/>
    </row>
    <row r="1724" spans="2:2" ht="12" customHeight="1">
      <c r="B1724" s="503"/>
    </row>
    <row r="1725" spans="2:2" ht="12" customHeight="1">
      <c r="B1725" s="503"/>
    </row>
    <row r="1726" spans="2:2" ht="12" customHeight="1">
      <c r="B1726" s="503"/>
    </row>
    <row r="1727" spans="2:2" ht="12" customHeight="1">
      <c r="B1727" s="503"/>
    </row>
    <row r="1728" spans="2:2" ht="12" customHeight="1">
      <c r="B1728" s="503"/>
    </row>
    <row r="1729" spans="2:2" ht="12" customHeight="1">
      <c r="B1729" s="503"/>
    </row>
    <row r="1730" spans="2:2" ht="12" customHeight="1">
      <c r="B1730" s="503"/>
    </row>
    <row r="1731" spans="2:2" ht="12" customHeight="1">
      <c r="B1731" s="503"/>
    </row>
    <row r="1732" spans="2:2" ht="12" customHeight="1">
      <c r="B1732" s="503"/>
    </row>
    <row r="1733" spans="2:2" ht="12" customHeight="1">
      <c r="B1733" s="503"/>
    </row>
    <row r="1734" spans="2:2" ht="12" customHeight="1">
      <c r="B1734" s="503"/>
    </row>
    <row r="1735" spans="2:2" ht="12" customHeight="1">
      <c r="B1735" s="503"/>
    </row>
    <row r="1736" spans="2:2" ht="12" customHeight="1">
      <c r="B1736" s="503"/>
    </row>
    <row r="1737" spans="2:2" ht="12" customHeight="1">
      <c r="B1737" s="503"/>
    </row>
    <row r="1738" spans="2:2" ht="12" customHeight="1">
      <c r="B1738" s="503"/>
    </row>
    <row r="1739" spans="2:2" ht="12" customHeight="1">
      <c r="B1739" s="503"/>
    </row>
    <row r="1740" spans="2:2" ht="12" customHeight="1">
      <c r="B1740" s="503"/>
    </row>
    <row r="1741" spans="2:2" ht="12" customHeight="1">
      <c r="B1741" s="503"/>
    </row>
    <row r="1742" spans="2:2" ht="12" customHeight="1">
      <c r="B1742" s="503"/>
    </row>
    <row r="1743" spans="2:2" ht="12" customHeight="1">
      <c r="B1743" s="503"/>
    </row>
    <row r="1744" spans="2:2" ht="12" customHeight="1">
      <c r="B1744" s="503"/>
    </row>
    <row r="1745" spans="2:2" ht="12" customHeight="1">
      <c r="B1745" s="503"/>
    </row>
    <row r="1746" spans="2:2" ht="12" customHeight="1">
      <c r="B1746" s="503"/>
    </row>
    <row r="1747" spans="2:2" ht="12" customHeight="1">
      <c r="B1747" s="503"/>
    </row>
    <row r="1748" spans="2:2" ht="12" customHeight="1">
      <c r="B1748" s="503"/>
    </row>
    <row r="1749" spans="2:2" ht="12" customHeight="1">
      <c r="B1749" s="503"/>
    </row>
    <row r="1750" spans="2:2" ht="12" customHeight="1">
      <c r="B1750" s="503"/>
    </row>
    <row r="1751" spans="2:2" ht="12" customHeight="1">
      <c r="B1751" s="503"/>
    </row>
    <row r="1752" spans="2:2" ht="12" customHeight="1">
      <c r="B1752" s="503"/>
    </row>
    <row r="1753" spans="2:2" ht="12" customHeight="1">
      <c r="B1753" s="503"/>
    </row>
    <row r="1754" spans="2:2" ht="12" customHeight="1">
      <c r="B1754" s="503"/>
    </row>
    <row r="1755" spans="2:2" ht="12" customHeight="1">
      <c r="B1755" s="503"/>
    </row>
    <row r="1756" spans="2:2" ht="12" customHeight="1">
      <c r="B1756" s="503"/>
    </row>
    <row r="1757" spans="2:2" ht="12" customHeight="1">
      <c r="B1757" s="503"/>
    </row>
    <row r="1758" spans="2:2" ht="12" customHeight="1">
      <c r="B1758" s="503"/>
    </row>
    <row r="1759" spans="2:2" ht="12" customHeight="1">
      <c r="B1759" s="503"/>
    </row>
    <row r="1760" spans="2:2" ht="12" customHeight="1">
      <c r="B1760" s="503"/>
    </row>
    <row r="1761" spans="2:2" ht="12" customHeight="1">
      <c r="B1761" s="503"/>
    </row>
    <row r="1762" spans="2:2" ht="12" customHeight="1">
      <c r="B1762" s="503"/>
    </row>
    <row r="1763" spans="2:2" ht="12" customHeight="1">
      <c r="B1763" s="503"/>
    </row>
    <row r="1764" spans="2:2" ht="12" customHeight="1">
      <c r="B1764" s="503"/>
    </row>
    <row r="1765" spans="2:2" ht="12" customHeight="1">
      <c r="B1765" s="503"/>
    </row>
    <row r="1766" spans="2:2" ht="12" customHeight="1">
      <c r="B1766" s="503"/>
    </row>
    <row r="1767" spans="2:2" ht="12" customHeight="1">
      <c r="B1767" s="503"/>
    </row>
    <row r="1768" spans="2:2" ht="12" customHeight="1">
      <c r="B1768" s="503"/>
    </row>
    <row r="1769" spans="2:2" ht="12" customHeight="1">
      <c r="B1769" s="503"/>
    </row>
    <row r="1770" spans="2:2" ht="12" customHeight="1">
      <c r="B1770" s="503"/>
    </row>
    <row r="1771" spans="2:2" ht="12" customHeight="1">
      <c r="B1771" s="503"/>
    </row>
    <row r="1772" spans="2:2" ht="12" customHeight="1">
      <c r="B1772" s="503"/>
    </row>
    <row r="1773" spans="2:2" ht="12" customHeight="1">
      <c r="B1773" s="503"/>
    </row>
    <row r="1774" spans="2:2" ht="12" customHeight="1">
      <c r="B1774" s="503"/>
    </row>
    <row r="1775" spans="2:2" ht="12" customHeight="1">
      <c r="B1775" s="503"/>
    </row>
    <row r="1776" spans="2:2" ht="12" customHeight="1">
      <c r="B1776" s="503"/>
    </row>
    <row r="1777" spans="2:2" ht="12" customHeight="1">
      <c r="B1777" s="503"/>
    </row>
    <row r="1778" spans="2:2" ht="12" customHeight="1">
      <c r="B1778" s="503"/>
    </row>
    <row r="1779" spans="2:2" ht="12" customHeight="1">
      <c r="B1779" s="503"/>
    </row>
    <row r="1780" spans="2:2" ht="12" customHeight="1">
      <c r="B1780" s="503"/>
    </row>
    <row r="1781" spans="2:2" ht="12" customHeight="1">
      <c r="B1781" s="503"/>
    </row>
    <row r="1782" spans="2:2" ht="12" customHeight="1">
      <c r="B1782" s="503"/>
    </row>
    <row r="1783" spans="2:2" ht="12" customHeight="1">
      <c r="B1783" s="503"/>
    </row>
    <row r="1784" spans="2:2" ht="12" customHeight="1">
      <c r="B1784" s="503"/>
    </row>
    <row r="1785" spans="2:2" ht="12" customHeight="1">
      <c r="B1785" s="503"/>
    </row>
    <row r="1786" spans="2:2" ht="12" customHeight="1">
      <c r="B1786" s="503"/>
    </row>
    <row r="1787" spans="2:2" ht="12" customHeight="1">
      <c r="B1787" s="503"/>
    </row>
    <row r="1788" spans="2:2" ht="12" customHeight="1">
      <c r="B1788" s="503"/>
    </row>
    <row r="1789" spans="2:2" ht="12" customHeight="1">
      <c r="B1789" s="503"/>
    </row>
    <row r="1790" spans="2:2" ht="12" customHeight="1">
      <c r="B1790" s="503"/>
    </row>
    <row r="1791" spans="2:2" ht="12" customHeight="1">
      <c r="B1791" s="503"/>
    </row>
    <row r="1792" spans="2:2" ht="12" customHeight="1">
      <c r="B1792" s="503"/>
    </row>
    <row r="1793" spans="2:2" ht="12" customHeight="1">
      <c r="B1793" s="503"/>
    </row>
    <row r="1794" spans="2:2" ht="12" customHeight="1">
      <c r="B1794" s="503"/>
    </row>
    <row r="1795" spans="2:2" ht="12" customHeight="1">
      <c r="B1795" s="503"/>
    </row>
    <row r="1796" spans="2:2" ht="12" customHeight="1">
      <c r="B1796" s="503"/>
    </row>
    <row r="1797" spans="2:2" ht="12" customHeight="1">
      <c r="B1797" s="503"/>
    </row>
    <row r="1798" spans="2:2" ht="12" customHeight="1">
      <c r="B1798" s="503"/>
    </row>
    <row r="1799" spans="2:2" ht="12" customHeight="1">
      <c r="B1799" s="503"/>
    </row>
    <row r="1800" spans="2:2" ht="12" customHeight="1">
      <c r="B1800" s="503"/>
    </row>
    <row r="1801" spans="2:2" ht="12" customHeight="1">
      <c r="B1801" s="503"/>
    </row>
    <row r="1802" spans="2:2" ht="12" customHeight="1">
      <c r="B1802" s="503"/>
    </row>
    <row r="1803" spans="2:2" ht="12" customHeight="1">
      <c r="B1803" s="503"/>
    </row>
    <row r="1804" spans="2:2" ht="12" customHeight="1">
      <c r="B1804" s="503"/>
    </row>
    <row r="1805" spans="2:2" ht="12" customHeight="1">
      <c r="B1805" s="503"/>
    </row>
    <row r="1806" spans="2:2" ht="12" customHeight="1">
      <c r="B1806" s="503"/>
    </row>
    <row r="1807" spans="2:2" ht="12" customHeight="1">
      <c r="B1807" s="503"/>
    </row>
    <row r="1808" spans="2:2" ht="12" customHeight="1">
      <c r="B1808" s="503"/>
    </row>
    <row r="1809" spans="2:2" ht="12" customHeight="1">
      <c r="B1809" s="503"/>
    </row>
    <row r="1810" spans="2:2" ht="12" customHeight="1">
      <c r="B1810" s="503"/>
    </row>
    <row r="1811" spans="2:2" ht="12" customHeight="1">
      <c r="B1811" s="503"/>
    </row>
    <row r="1812" spans="2:2" ht="12" customHeight="1">
      <c r="B1812" s="503"/>
    </row>
    <row r="1813" spans="2:2" ht="12" customHeight="1">
      <c r="B1813" s="503"/>
    </row>
    <row r="1814" spans="2:2" ht="12" customHeight="1">
      <c r="B1814" s="503"/>
    </row>
    <row r="1815" spans="2:2" ht="12" customHeight="1">
      <c r="B1815" s="503"/>
    </row>
    <row r="1816" spans="2:2" ht="12" customHeight="1">
      <c r="B1816" s="503"/>
    </row>
    <row r="1817" spans="2:2" ht="12" customHeight="1">
      <c r="B1817" s="503"/>
    </row>
    <row r="1818" spans="2:2" ht="12" customHeight="1">
      <c r="B1818" s="503"/>
    </row>
    <row r="1819" spans="2:2" ht="12" customHeight="1">
      <c r="B1819" s="503"/>
    </row>
    <row r="1820" spans="2:2" ht="12" customHeight="1">
      <c r="B1820" s="503"/>
    </row>
    <row r="1821" spans="2:2" ht="12" customHeight="1">
      <c r="B1821" s="503"/>
    </row>
    <row r="1822" spans="2:2" ht="12" customHeight="1">
      <c r="B1822" s="503"/>
    </row>
    <row r="1823" spans="2:2" ht="12" customHeight="1">
      <c r="B1823" s="503"/>
    </row>
    <row r="1824" spans="2:2" ht="12" customHeight="1">
      <c r="B1824" s="503"/>
    </row>
    <row r="1825" spans="2:2" ht="12" customHeight="1">
      <c r="B1825" s="503"/>
    </row>
    <row r="1826" spans="2:2" ht="12" customHeight="1">
      <c r="B1826" s="503"/>
    </row>
    <row r="1827" spans="2:2" ht="12" customHeight="1">
      <c r="B1827" s="503"/>
    </row>
    <row r="1828" spans="2:2" ht="12" customHeight="1">
      <c r="B1828" s="503"/>
    </row>
    <row r="1829" spans="2:2" ht="12" customHeight="1">
      <c r="B1829" s="503"/>
    </row>
    <row r="1830" spans="2:2" ht="12" customHeight="1">
      <c r="B1830" s="503"/>
    </row>
    <row r="1831" spans="2:2" ht="12" customHeight="1">
      <c r="B1831" s="503"/>
    </row>
    <row r="1832" spans="2:2" ht="12" customHeight="1">
      <c r="B1832" s="503"/>
    </row>
    <row r="1833" spans="2:2" ht="12" customHeight="1">
      <c r="B1833" s="503"/>
    </row>
    <row r="1834" spans="2:2" ht="12" customHeight="1">
      <c r="B1834" s="503"/>
    </row>
    <row r="1835" spans="2:2" ht="12" customHeight="1">
      <c r="B1835" s="503"/>
    </row>
    <row r="1836" spans="2:2" ht="12" customHeight="1">
      <c r="B1836" s="503"/>
    </row>
    <row r="1837" spans="2:2" ht="12" customHeight="1">
      <c r="B1837" s="503"/>
    </row>
    <row r="1838" spans="2:2" ht="12" customHeight="1">
      <c r="B1838" s="503"/>
    </row>
    <row r="1839" spans="2:2" ht="12" customHeight="1">
      <c r="B1839" s="503"/>
    </row>
    <row r="1840" spans="2:2" ht="12" customHeight="1">
      <c r="B1840" s="503"/>
    </row>
    <row r="1841" spans="2:2" ht="12" customHeight="1">
      <c r="B1841" s="503"/>
    </row>
    <row r="1842" spans="2:2" ht="12" customHeight="1">
      <c r="B1842" s="503"/>
    </row>
    <row r="1843" spans="2:2" ht="12" customHeight="1">
      <c r="B1843" s="503"/>
    </row>
    <row r="1844" spans="2:2" ht="12" customHeight="1">
      <c r="B1844" s="503"/>
    </row>
    <row r="1845" spans="2:2" ht="12" customHeight="1">
      <c r="B1845" s="503"/>
    </row>
    <row r="1846" spans="2:2" ht="12" customHeight="1">
      <c r="B1846" s="503"/>
    </row>
    <row r="1847" spans="2:2" ht="12" customHeight="1">
      <c r="B1847" s="503"/>
    </row>
    <row r="1848" spans="2:2" ht="12" customHeight="1">
      <c r="B1848" s="503"/>
    </row>
    <row r="1849" spans="2:2" ht="12" customHeight="1">
      <c r="B1849" s="503"/>
    </row>
    <row r="1850" spans="2:2" ht="12" customHeight="1">
      <c r="B1850" s="503"/>
    </row>
    <row r="1851" spans="2:2" ht="12" customHeight="1">
      <c r="B1851" s="503"/>
    </row>
    <row r="1852" spans="2:2" ht="12" customHeight="1">
      <c r="B1852" s="503"/>
    </row>
    <row r="1853" spans="2:2" ht="12" customHeight="1">
      <c r="B1853" s="503"/>
    </row>
    <row r="1854" spans="2:2" ht="12" customHeight="1">
      <c r="B1854" s="503"/>
    </row>
    <row r="1855" spans="2:2" ht="12" customHeight="1">
      <c r="B1855" s="503"/>
    </row>
    <row r="1856" spans="2:2" ht="12" customHeight="1">
      <c r="B1856" s="503"/>
    </row>
    <row r="1857" spans="2:2" ht="12" customHeight="1">
      <c r="B1857" s="503"/>
    </row>
    <row r="1858" spans="2:2" ht="12" customHeight="1">
      <c r="B1858" s="503"/>
    </row>
    <row r="1859" spans="2:2" ht="12" customHeight="1">
      <c r="B1859" s="503"/>
    </row>
    <row r="1860" spans="2:2" ht="12" customHeight="1">
      <c r="B1860" s="503"/>
    </row>
    <row r="1861" spans="2:2" ht="12" customHeight="1">
      <c r="B1861" s="503"/>
    </row>
    <row r="1862" spans="2:2" ht="12" customHeight="1">
      <c r="B1862" s="503"/>
    </row>
    <row r="1863" spans="2:2" ht="12" customHeight="1">
      <c r="B1863" s="503"/>
    </row>
    <row r="1864" spans="2:2" ht="12" customHeight="1">
      <c r="B1864" s="503"/>
    </row>
    <row r="1865" spans="2:2" ht="12" customHeight="1">
      <c r="B1865" s="503"/>
    </row>
    <row r="1866" spans="2:2" ht="12" customHeight="1">
      <c r="B1866" s="503"/>
    </row>
    <row r="1867" spans="2:2" ht="12" customHeight="1">
      <c r="B1867" s="503"/>
    </row>
    <row r="1868" spans="2:2" ht="12" customHeight="1">
      <c r="B1868" s="503"/>
    </row>
    <row r="1869" spans="2:2" ht="12" customHeight="1">
      <c r="B1869" s="503"/>
    </row>
    <row r="1870" spans="2:2" ht="12" customHeight="1">
      <c r="B1870" s="503"/>
    </row>
    <row r="1871" spans="2:2" ht="12" customHeight="1">
      <c r="B1871" s="503"/>
    </row>
    <row r="1872" spans="2:2" ht="12" customHeight="1">
      <c r="B1872" s="503"/>
    </row>
    <row r="1873" spans="2:2" ht="12" customHeight="1">
      <c r="B1873" s="503"/>
    </row>
    <row r="1874" spans="2:2" ht="12" customHeight="1">
      <c r="B1874" s="503"/>
    </row>
    <row r="1875" spans="2:2" ht="12" customHeight="1">
      <c r="B1875" s="503"/>
    </row>
    <row r="1876" spans="2:2" ht="12" customHeight="1">
      <c r="B1876" s="503"/>
    </row>
    <row r="1877" spans="2:2" ht="12" customHeight="1">
      <c r="B1877" s="503"/>
    </row>
    <row r="1878" spans="2:2" ht="12" customHeight="1">
      <c r="B1878" s="503"/>
    </row>
    <row r="1879" spans="2:2" ht="12" customHeight="1">
      <c r="B1879" s="503"/>
    </row>
    <row r="1880" spans="2:2" ht="12" customHeight="1">
      <c r="B1880" s="503"/>
    </row>
    <row r="1881" spans="2:2" ht="12" customHeight="1">
      <c r="B1881" s="503"/>
    </row>
    <row r="1882" spans="2:2" ht="12" customHeight="1">
      <c r="B1882" s="503"/>
    </row>
    <row r="1883" spans="2:2" ht="12" customHeight="1">
      <c r="B1883" s="503"/>
    </row>
    <row r="1884" spans="2:2" ht="12" customHeight="1">
      <c r="B1884" s="503"/>
    </row>
    <row r="1885" spans="2:2" ht="12" customHeight="1">
      <c r="B1885" s="503"/>
    </row>
    <row r="1886" spans="2:2" ht="12" customHeight="1">
      <c r="B1886" s="503"/>
    </row>
    <row r="1887" spans="2:2" ht="12" customHeight="1">
      <c r="B1887" s="503"/>
    </row>
    <row r="1888" spans="2:2" ht="12" customHeight="1">
      <c r="B1888" s="503"/>
    </row>
    <row r="1889" spans="2:2" ht="12" customHeight="1">
      <c r="B1889" s="503"/>
    </row>
    <row r="1890" spans="2:2" ht="12" customHeight="1">
      <c r="B1890" s="503"/>
    </row>
    <row r="1891" spans="2:2" ht="12" customHeight="1">
      <c r="B1891" s="503"/>
    </row>
    <row r="1892" spans="2:2" ht="12" customHeight="1">
      <c r="B1892" s="503"/>
    </row>
    <row r="1893" spans="2:2" ht="12" customHeight="1">
      <c r="B1893" s="503"/>
    </row>
    <row r="1894" spans="2:2" ht="12" customHeight="1">
      <c r="B1894" s="503"/>
    </row>
    <row r="1895" spans="2:2" ht="12" customHeight="1">
      <c r="B1895" s="503"/>
    </row>
    <row r="1896" spans="2:2" ht="12" customHeight="1">
      <c r="B1896" s="503"/>
    </row>
    <row r="1897" spans="2:2" ht="12" customHeight="1">
      <c r="B1897" s="503"/>
    </row>
    <row r="1898" spans="2:2" ht="12" customHeight="1">
      <c r="B1898" s="503"/>
    </row>
    <row r="1899" spans="2:2" ht="12" customHeight="1">
      <c r="B1899" s="503"/>
    </row>
    <row r="1900" spans="2:2" ht="12" customHeight="1">
      <c r="B1900" s="503"/>
    </row>
    <row r="1901" spans="2:2" ht="12" customHeight="1">
      <c r="B1901" s="503"/>
    </row>
    <row r="1902" spans="2:2" ht="12" customHeight="1">
      <c r="B1902" s="503"/>
    </row>
    <row r="1903" spans="2:2" ht="12" customHeight="1">
      <c r="B1903" s="503"/>
    </row>
    <row r="1904" spans="2:2" ht="12" customHeight="1">
      <c r="B1904" s="503"/>
    </row>
    <row r="1905" spans="2:2" ht="12" customHeight="1">
      <c r="B1905" s="503"/>
    </row>
    <row r="1906" spans="2:2" ht="12" customHeight="1">
      <c r="B1906" s="503"/>
    </row>
    <row r="1907" spans="2:2" ht="12" customHeight="1">
      <c r="B1907" s="503"/>
    </row>
    <row r="1908" spans="2:2" ht="12" customHeight="1">
      <c r="B1908" s="503"/>
    </row>
    <row r="1909" spans="2:2" ht="12" customHeight="1">
      <c r="B1909" s="503"/>
    </row>
    <row r="1910" spans="2:2" ht="12" customHeight="1">
      <c r="B1910" s="503"/>
    </row>
    <row r="1911" spans="2:2" ht="12" customHeight="1">
      <c r="B1911" s="503"/>
    </row>
    <row r="1912" spans="2:2" ht="12" customHeight="1">
      <c r="B1912" s="503"/>
    </row>
    <row r="1913" spans="2:2" ht="12" customHeight="1">
      <c r="B1913" s="503"/>
    </row>
    <row r="1914" spans="2:2" ht="12" customHeight="1">
      <c r="B1914" s="503"/>
    </row>
    <row r="1915" spans="2:2" ht="12" customHeight="1">
      <c r="B1915" s="503"/>
    </row>
    <row r="1916" spans="2:2" ht="12" customHeight="1">
      <c r="B1916" s="503"/>
    </row>
    <row r="1917" spans="2:2" ht="12" customHeight="1">
      <c r="B1917" s="503"/>
    </row>
    <row r="1918" spans="2:2" ht="12" customHeight="1">
      <c r="B1918" s="503"/>
    </row>
    <row r="1919" spans="2:2" ht="12" customHeight="1">
      <c r="B1919" s="503"/>
    </row>
    <row r="1920" spans="2:2" ht="12" customHeight="1">
      <c r="B1920" s="503"/>
    </row>
    <row r="1921" spans="2:2" ht="12" customHeight="1">
      <c r="B1921" s="503"/>
    </row>
    <row r="1922" spans="2:2" ht="12" customHeight="1">
      <c r="B1922" s="503"/>
    </row>
    <row r="1923" spans="2:2" ht="12" customHeight="1">
      <c r="B1923" s="503"/>
    </row>
    <row r="1924" spans="2:2" ht="12" customHeight="1">
      <c r="B1924" s="503"/>
    </row>
    <row r="1925" spans="2:2" ht="12" customHeight="1">
      <c r="B1925" s="503"/>
    </row>
    <row r="1926" spans="2:2" ht="12" customHeight="1">
      <c r="B1926" s="503"/>
    </row>
    <row r="1927" spans="2:2" ht="12" customHeight="1">
      <c r="B1927" s="503"/>
    </row>
    <row r="1928" spans="2:2" ht="12" customHeight="1">
      <c r="B1928" s="503"/>
    </row>
    <row r="1929" spans="2:2" ht="12" customHeight="1">
      <c r="B1929" s="503"/>
    </row>
    <row r="1930" spans="2:2" ht="12" customHeight="1">
      <c r="B1930" s="503"/>
    </row>
    <row r="1931" spans="2:2" ht="12" customHeight="1">
      <c r="B1931" s="503"/>
    </row>
    <row r="1932" spans="2:2" ht="12" customHeight="1">
      <c r="B1932" s="503"/>
    </row>
    <row r="1933" spans="2:2" ht="12" customHeight="1">
      <c r="B1933" s="503"/>
    </row>
    <row r="1934" spans="2:2" ht="12" customHeight="1">
      <c r="B1934" s="503"/>
    </row>
    <row r="1935" spans="2:2" ht="12" customHeight="1">
      <c r="B1935" s="503"/>
    </row>
    <row r="1936" spans="2:2" ht="12" customHeight="1">
      <c r="B1936" s="503"/>
    </row>
    <row r="1937" spans="2:2" ht="12" customHeight="1">
      <c r="B1937" s="503"/>
    </row>
    <row r="1938" spans="2:2" ht="12" customHeight="1">
      <c r="B1938" s="503"/>
    </row>
    <row r="1939" spans="2:2" ht="12" customHeight="1">
      <c r="B1939" s="503"/>
    </row>
    <row r="1940" spans="2:2" ht="12" customHeight="1">
      <c r="B1940" s="503"/>
    </row>
    <row r="1941" spans="2:2" ht="12" customHeight="1">
      <c r="B1941" s="503"/>
    </row>
    <row r="1942" spans="2:2" ht="12" customHeight="1">
      <c r="B1942" s="503"/>
    </row>
    <row r="1943" spans="2:2" ht="12" customHeight="1">
      <c r="B1943" s="503"/>
    </row>
    <row r="1944" spans="2:2" ht="12" customHeight="1">
      <c r="B1944" s="503"/>
    </row>
    <row r="1945" spans="2:2" ht="12" customHeight="1">
      <c r="B1945" s="503"/>
    </row>
    <row r="1946" spans="2:2" ht="12" customHeight="1">
      <c r="B1946" s="503"/>
    </row>
    <row r="1947" spans="2:2" ht="12" customHeight="1">
      <c r="B1947" s="503"/>
    </row>
    <row r="1948" spans="2:2" ht="12" customHeight="1">
      <c r="B1948" s="503"/>
    </row>
    <row r="1949" spans="2:2" ht="12" customHeight="1">
      <c r="B1949" s="503"/>
    </row>
    <row r="1950" spans="2:2" ht="12" customHeight="1">
      <c r="B1950" s="503"/>
    </row>
    <row r="1951" spans="2:2" ht="12" customHeight="1">
      <c r="B1951" s="503"/>
    </row>
    <row r="1952" spans="2:2" ht="12" customHeight="1">
      <c r="B1952" s="503"/>
    </row>
    <row r="1953" spans="2:2" ht="12" customHeight="1">
      <c r="B1953" s="503"/>
    </row>
    <row r="1954" spans="2:2" ht="12" customHeight="1">
      <c r="B1954" s="503"/>
    </row>
    <row r="1955" spans="2:2" ht="12" customHeight="1">
      <c r="B1955" s="503"/>
    </row>
    <row r="1956" spans="2:2" ht="12" customHeight="1">
      <c r="B1956" s="503"/>
    </row>
    <row r="1957" spans="2:2" ht="12" customHeight="1">
      <c r="B1957" s="503"/>
    </row>
    <row r="1958" spans="2:2" ht="12" customHeight="1">
      <c r="B1958" s="503"/>
    </row>
    <row r="1959" spans="2:2" ht="12" customHeight="1">
      <c r="B1959" s="503"/>
    </row>
    <row r="1960" spans="2:2" ht="12" customHeight="1">
      <c r="B1960" s="503"/>
    </row>
    <row r="1961" spans="2:2" ht="12" customHeight="1">
      <c r="B1961" s="503"/>
    </row>
    <row r="1962" spans="2:2" ht="12" customHeight="1">
      <c r="B1962" s="503"/>
    </row>
    <row r="1963" spans="2:2" ht="12" customHeight="1">
      <c r="B1963" s="503"/>
    </row>
    <row r="1964" spans="2:2" ht="12" customHeight="1">
      <c r="B1964" s="503"/>
    </row>
    <row r="1965" spans="2:2" ht="12" customHeight="1">
      <c r="B1965" s="503"/>
    </row>
    <row r="1966" spans="2:2" ht="12" customHeight="1">
      <c r="B1966" s="503"/>
    </row>
    <row r="1967" spans="2:2" ht="12" customHeight="1">
      <c r="B1967" s="503"/>
    </row>
    <row r="1968" spans="2:2" ht="12" customHeight="1">
      <c r="B1968" s="503"/>
    </row>
    <row r="1969" spans="2:2" ht="12" customHeight="1">
      <c r="B1969" s="503"/>
    </row>
    <row r="1970" spans="2:2" ht="12" customHeight="1">
      <c r="B1970" s="503"/>
    </row>
    <row r="1971" spans="2:2" ht="12" customHeight="1">
      <c r="B1971" s="503"/>
    </row>
    <row r="1972" spans="2:2" ht="12" customHeight="1">
      <c r="B1972" s="503"/>
    </row>
    <row r="1973" spans="2:2" ht="12" customHeight="1">
      <c r="B1973" s="503"/>
    </row>
    <row r="1974" spans="2:2" ht="12" customHeight="1">
      <c r="B1974" s="503"/>
    </row>
    <row r="1975" spans="2:2" ht="12" customHeight="1">
      <c r="B1975" s="503"/>
    </row>
    <row r="1976" spans="2:2" ht="12" customHeight="1">
      <c r="B1976" s="503"/>
    </row>
    <row r="1977" spans="2:2" ht="12" customHeight="1">
      <c r="B1977" s="503"/>
    </row>
    <row r="1978" spans="2:2" ht="12" customHeight="1">
      <c r="B1978" s="503"/>
    </row>
    <row r="1979" spans="2:2" ht="12" customHeight="1">
      <c r="B1979" s="503"/>
    </row>
    <row r="1980" spans="2:2" ht="12" customHeight="1">
      <c r="B1980" s="503"/>
    </row>
    <row r="1981" spans="2:2" ht="12" customHeight="1">
      <c r="B1981" s="503"/>
    </row>
    <row r="1982" spans="2:2" ht="12" customHeight="1">
      <c r="B1982" s="503"/>
    </row>
    <row r="1983" spans="2:2" ht="12" customHeight="1">
      <c r="B1983" s="503"/>
    </row>
    <row r="1984" spans="2:2" ht="12" customHeight="1">
      <c r="B1984" s="503"/>
    </row>
    <row r="1985" spans="2:2" ht="12" customHeight="1">
      <c r="B1985" s="503"/>
    </row>
    <row r="1986" spans="2:2" ht="12" customHeight="1">
      <c r="B1986" s="503"/>
    </row>
    <row r="1987" spans="2:2" ht="12" customHeight="1">
      <c r="B1987" s="503"/>
    </row>
    <row r="1988" spans="2:2" ht="12" customHeight="1">
      <c r="B1988" s="503"/>
    </row>
    <row r="1989" spans="2:2" ht="12" customHeight="1">
      <c r="B1989" s="503"/>
    </row>
    <row r="1990" spans="2:2" ht="12" customHeight="1">
      <c r="B1990" s="503"/>
    </row>
    <row r="1991" spans="2:2" ht="12" customHeight="1">
      <c r="B1991" s="503"/>
    </row>
    <row r="1992" spans="2:2" ht="12" customHeight="1">
      <c r="B1992" s="503"/>
    </row>
    <row r="1993" spans="2:2" ht="12" customHeight="1">
      <c r="B1993" s="503"/>
    </row>
    <row r="1994" spans="2:2" ht="12" customHeight="1">
      <c r="B1994" s="503"/>
    </row>
    <row r="1995" spans="2:2" ht="12" customHeight="1">
      <c r="B1995" s="503"/>
    </row>
    <row r="1996" spans="2:2" ht="12" customHeight="1">
      <c r="B1996" s="503"/>
    </row>
    <row r="1997" spans="2:2" ht="12" customHeight="1">
      <c r="B1997" s="503"/>
    </row>
    <row r="1998" spans="2:2" ht="12" customHeight="1">
      <c r="B1998" s="503"/>
    </row>
    <row r="1999" spans="2:2" ht="12" customHeight="1">
      <c r="B1999" s="503"/>
    </row>
    <row r="2000" spans="2:2" ht="12" customHeight="1">
      <c r="B2000" s="503"/>
    </row>
    <row r="2001" spans="2:2" ht="12" customHeight="1">
      <c r="B2001" s="503"/>
    </row>
    <row r="2002" spans="2:2" ht="12" customHeight="1">
      <c r="B2002" s="503"/>
    </row>
    <row r="2003" spans="2:2" ht="12" customHeight="1">
      <c r="B2003" s="503"/>
    </row>
    <row r="2004" spans="2:2" ht="12" customHeight="1">
      <c r="B2004" s="503"/>
    </row>
    <row r="2005" spans="2:2" ht="12" customHeight="1">
      <c r="B2005" s="503"/>
    </row>
    <row r="2006" spans="2:2" ht="12" customHeight="1">
      <c r="B2006" s="503"/>
    </row>
    <row r="2007" spans="2:2" ht="12" customHeight="1">
      <c r="B2007" s="503"/>
    </row>
    <row r="2008" spans="2:2" ht="12" customHeight="1">
      <c r="B2008" s="503"/>
    </row>
    <row r="2009" spans="2:2" ht="12" customHeight="1">
      <c r="B2009" s="503"/>
    </row>
    <row r="2010" spans="2:2" ht="12" customHeight="1">
      <c r="B2010" s="503"/>
    </row>
    <row r="2011" spans="2:2" ht="12" customHeight="1">
      <c r="B2011" s="503"/>
    </row>
    <row r="2012" spans="2:2" ht="12" customHeight="1">
      <c r="B2012" s="503"/>
    </row>
    <row r="2013" spans="2:2" ht="12" customHeight="1">
      <c r="B2013" s="503"/>
    </row>
    <row r="2014" spans="2:2" ht="12" customHeight="1">
      <c r="B2014" s="503"/>
    </row>
    <row r="2015" spans="2:2" ht="12" customHeight="1">
      <c r="B2015" s="503"/>
    </row>
    <row r="2016" spans="2:2" ht="12" customHeight="1">
      <c r="B2016" s="503"/>
    </row>
    <row r="2017" spans="2:2" ht="12" customHeight="1">
      <c r="B2017" s="503"/>
    </row>
    <row r="2018" spans="2:2" ht="12" customHeight="1">
      <c r="B2018" s="503"/>
    </row>
    <row r="2019" spans="2:2" ht="12" customHeight="1">
      <c r="B2019" s="503"/>
    </row>
    <row r="2020" spans="2:2" ht="12" customHeight="1">
      <c r="B2020" s="503"/>
    </row>
    <row r="2021" spans="2:2" ht="12" customHeight="1">
      <c r="B2021" s="503"/>
    </row>
    <row r="2022" spans="2:2" ht="12" customHeight="1">
      <c r="B2022" s="503"/>
    </row>
    <row r="2023" spans="2:2" ht="12" customHeight="1">
      <c r="B2023" s="503"/>
    </row>
    <row r="2024" spans="2:2" ht="12" customHeight="1">
      <c r="B2024" s="503"/>
    </row>
    <row r="2025" spans="2:2" ht="12" customHeight="1">
      <c r="B2025" s="503"/>
    </row>
    <row r="2026" spans="2:2" ht="12" customHeight="1">
      <c r="B2026" s="503"/>
    </row>
    <row r="2027" spans="2:2" ht="12" customHeight="1">
      <c r="B2027" s="503"/>
    </row>
    <row r="2028" spans="2:2" ht="12" customHeight="1">
      <c r="B2028" s="503"/>
    </row>
    <row r="2029" spans="2:2" ht="12" customHeight="1">
      <c r="B2029" s="503"/>
    </row>
    <row r="2030" spans="2:2" ht="12" customHeight="1">
      <c r="B2030" s="503"/>
    </row>
    <row r="2031" spans="2:2" ht="12" customHeight="1">
      <c r="B2031" s="503"/>
    </row>
    <row r="2032" spans="2:2" ht="12" customHeight="1">
      <c r="B2032" s="503"/>
    </row>
    <row r="2033" spans="2:2" ht="12" customHeight="1">
      <c r="B2033" s="503"/>
    </row>
    <row r="2034" spans="2:2" ht="12" customHeight="1">
      <c r="B2034" s="503"/>
    </row>
    <row r="2035" spans="2:2" ht="12" customHeight="1">
      <c r="B2035" s="503"/>
    </row>
    <row r="2036" spans="2:2" ht="12" customHeight="1">
      <c r="B2036" s="503"/>
    </row>
    <row r="2037" spans="2:2" ht="12" customHeight="1">
      <c r="B2037" s="503"/>
    </row>
    <row r="2038" spans="2:2" ht="12" customHeight="1">
      <c r="B2038" s="503"/>
    </row>
    <row r="2039" spans="2:2" ht="12" customHeight="1">
      <c r="B2039" s="503"/>
    </row>
    <row r="2040" spans="2:2" ht="12" customHeight="1">
      <c r="B2040" s="503"/>
    </row>
    <row r="2041" spans="2:2" ht="12" customHeight="1">
      <c r="B2041" s="503"/>
    </row>
    <row r="2042" spans="2:2" ht="12" customHeight="1">
      <c r="B2042" s="503"/>
    </row>
    <row r="2043" spans="2:2" ht="12" customHeight="1">
      <c r="B2043" s="503"/>
    </row>
    <row r="2044" spans="2:2" ht="12" customHeight="1">
      <c r="B2044" s="503"/>
    </row>
    <row r="2045" spans="2:2" ht="12" customHeight="1">
      <c r="B2045" s="503"/>
    </row>
    <row r="2046" spans="2:2" ht="12" customHeight="1">
      <c r="B2046" s="503"/>
    </row>
    <row r="2047" spans="2:2" ht="12" customHeight="1">
      <c r="B2047" s="503"/>
    </row>
    <row r="2048" spans="2:2" ht="12" customHeight="1">
      <c r="B2048" s="503"/>
    </row>
    <row r="2049" spans="2:2" ht="12" customHeight="1">
      <c r="B2049" s="503"/>
    </row>
    <row r="2050" spans="2:2" ht="12" customHeight="1">
      <c r="B2050" s="503"/>
    </row>
    <row r="2051" spans="2:2" ht="12" customHeight="1">
      <c r="B2051" s="503"/>
    </row>
    <row r="2052" spans="2:2" ht="12" customHeight="1">
      <c r="B2052" s="503"/>
    </row>
    <row r="2053" spans="2:2" ht="12" customHeight="1">
      <c r="B2053" s="503"/>
    </row>
    <row r="2054" spans="2:2" ht="12" customHeight="1">
      <c r="B2054" s="503"/>
    </row>
    <row r="2055" spans="2:2" ht="12" customHeight="1">
      <c r="B2055" s="503"/>
    </row>
    <row r="2056" spans="2:2" ht="12" customHeight="1">
      <c r="B2056" s="503"/>
    </row>
    <row r="2057" spans="2:2" ht="12" customHeight="1">
      <c r="B2057" s="503"/>
    </row>
    <row r="2058" spans="2:2" ht="12" customHeight="1">
      <c r="B2058" s="503"/>
    </row>
    <row r="2059" spans="2:2" ht="12" customHeight="1">
      <c r="B2059" s="503"/>
    </row>
    <row r="2060" spans="2:2" ht="12" customHeight="1">
      <c r="B2060" s="503"/>
    </row>
    <row r="2061" spans="2:2" ht="12" customHeight="1">
      <c r="B2061" s="503"/>
    </row>
    <row r="2062" spans="2:2" ht="12" customHeight="1">
      <c r="B2062" s="503"/>
    </row>
    <row r="2063" spans="2:2" ht="12" customHeight="1">
      <c r="B2063" s="503"/>
    </row>
    <row r="2064" spans="2:2" ht="12" customHeight="1">
      <c r="B2064" s="503"/>
    </row>
    <row r="2065" spans="2:2" ht="12" customHeight="1">
      <c r="B2065" s="503"/>
    </row>
    <row r="2066" spans="2:2" ht="12" customHeight="1">
      <c r="B2066" s="503"/>
    </row>
    <row r="2067" spans="2:2" ht="12" customHeight="1">
      <c r="B2067" s="503"/>
    </row>
    <row r="2068" spans="2:2" ht="12" customHeight="1">
      <c r="B2068" s="503"/>
    </row>
    <row r="2069" spans="2:2" ht="12" customHeight="1">
      <c r="B2069" s="503"/>
    </row>
    <row r="2070" spans="2:2" ht="12" customHeight="1">
      <c r="B2070" s="503"/>
    </row>
    <row r="2071" spans="2:2" ht="12" customHeight="1">
      <c r="B2071" s="503"/>
    </row>
    <row r="2072" spans="2:2" ht="12" customHeight="1">
      <c r="B2072" s="503"/>
    </row>
    <row r="2073" spans="2:2" ht="12" customHeight="1">
      <c r="B2073" s="503"/>
    </row>
    <row r="2074" spans="2:2" ht="12" customHeight="1">
      <c r="B2074" s="503"/>
    </row>
    <row r="2075" spans="2:2" ht="12" customHeight="1">
      <c r="B2075" s="503"/>
    </row>
    <row r="2076" spans="2:2" ht="12" customHeight="1">
      <c r="B2076" s="503"/>
    </row>
    <row r="2077" spans="2:2" ht="12" customHeight="1">
      <c r="B2077" s="503"/>
    </row>
    <row r="2078" spans="2:2" ht="12" customHeight="1">
      <c r="B2078" s="503"/>
    </row>
    <row r="2079" spans="2:2" ht="12" customHeight="1">
      <c r="B2079" s="503"/>
    </row>
    <row r="2080" spans="2:2" ht="12" customHeight="1">
      <c r="B2080" s="503"/>
    </row>
    <row r="2081" spans="2:2" ht="12" customHeight="1">
      <c r="B2081" s="503"/>
    </row>
    <row r="2082" spans="2:2" ht="12" customHeight="1">
      <c r="B2082" s="503"/>
    </row>
    <row r="2083" spans="2:2" ht="12" customHeight="1">
      <c r="B2083" s="503"/>
    </row>
    <row r="2084" spans="2:2" ht="12" customHeight="1">
      <c r="B2084" s="503"/>
    </row>
    <row r="2085" spans="2:2" ht="12" customHeight="1">
      <c r="B2085" s="503"/>
    </row>
    <row r="2086" spans="2:2" ht="12" customHeight="1">
      <c r="B2086" s="503"/>
    </row>
    <row r="2087" spans="2:2" ht="12" customHeight="1">
      <c r="B2087" s="503"/>
    </row>
    <row r="2088" spans="2:2" ht="12" customHeight="1">
      <c r="B2088" s="503"/>
    </row>
    <row r="2089" spans="2:2" ht="12" customHeight="1">
      <c r="B2089" s="503"/>
    </row>
    <row r="2090" spans="2:2" ht="12" customHeight="1">
      <c r="B2090" s="503"/>
    </row>
    <row r="2091" spans="2:2" ht="12" customHeight="1">
      <c r="B2091" s="503"/>
    </row>
    <row r="2092" spans="2:2" ht="12" customHeight="1">
      <c r="B2092" s="503"/>
    </row>
    <row r="2093" spans="2:2" ht="12" customHeight="1">
      <c r="B2093" s="503"/>
    </row>
    <row r="2094" spans="2:2" ht="12" customHeight="1">
      <c r="B2094" s="503"/>
    </row>
    <row r="2095" spans="2:2" ht="12" customHeight="1">
      <c r="B2095" s="503"/>
    </row>
    <row r="2096" spans="2:2" ht="12" customHeight="1">
      <c r="B2096" s="503"/>
    </row>
    <row r="2097" spans="2:2" ht="12" customHeight="1">
      <c r="B2097" s="503"/>
    </row>
    <row r="2098" spans="2:2" ht="12" customHeight="1">
      <c r="B2098" s="503"/>
    </row>
    <row r="2099" spans="2:2" ht="12" customHeight="1">
      <c r="B2099" s="503"/>
    </row>
    <row r="2100" spans="2:2" ht="12" customHeight="1">
      <c r="B2100" s="503"/>
    </row>
    <row r="2101" spans="2:2" ht="12" customHeight="1">
      <c r="B2101" s="503"/>
    </row>
    <row r="2102" spans="2:2" ht="12" customHeight="1">
      <c r="B2102" s="503"/>
    </row>
    <row r="2103" spans="2:2" ht="12" customHeight="1">
      <c r="B2103" s="503"/>
    </row>
    <row r="2104" spans="2:2" ht="12" customHeight="1">
      <c r="B2104" s="503"/>
    </row>
    <row r="2105" spans="2:2" ht="12" customHeight="1">
      <c r="B2105" s="503"/>
    </row>
    <row r="2106" spans="2:2" ht="12" customHeight="1">
      <c r="B2106" s="503"/>
    </row>
    <row r="2107" spans="2:2" ht="12" customHeight="1">
      <c r="B2107" s="503"/>
    </row>
    <row r="2108" spans="2:2" ht="12" customHeight="1">
      <c r="B2108" s="503"/>
    </row>
    <row r="2109" spans="2:2" ht="12" customHeight="1">
      <c r="B2109" s="503"/>
    </row>
    <row r="2110" spans="2:2" ht="12" customHeight="1">
      <c r="B2110" s="503"/>
    </row>
    <row r="2111" spans="2:2" ht="12" customHeight="1">
      <c r="B2111" s="503"/>
    </row>
    <row r="2112" spans="2:2" ht="12" customHeight="1">
      <c r="B2112" s="503"/>
    </row>
    <row r="2113" spans="2:2" ht="12" customHeight="1">
      <c r="B2113" s="503"/>
    </row>
    <row r="2114" spans="2:2" ht="12" customHeight="1">
      <c r="B2114" s="503"/>
    </row>
    <row r="2115" spans="2:2" ht="12" customHeight="1">
      <c r="B2115" s="503"/>
    </row>
    <row r="2116" spans="2:2" ht="12" customHeight="1">
      <c r="B2116" s="503"/>
    </row>
    <row r="2117" spans="2:2" ht="12" customHeight="1">
      <c r="B2117" s="503"/>
    </row>
    <row r="2118" spans="2:2" ht="12" customHeight="1">
      <c r="B2118" s="503"/>
    </row>
    <row r="2119" spans="2:2" ht="12" customHeight="1">
      <c r="B2119" s="503"/>
    </row>
    <row r="2120" spans="2:2" ht="12" customHeight="1">
      <c r="B2120" s="503"/>
    </row>
    <row r="2121" spans="2:2" ht="12" customHeight="1">
      <c r="B2121" s="503"/>
    </row>
    <row r="2122" spans="2:2" ht="12" customHeight="1">
      <c r="B2122" s="503"/>
    </row>
    <row r="2123" spans="2:2" ht="12" customHeight="1">
      <c r="B2123" s="503"/>
    </row>
    <row r="2124" spans="2:2" ht="12" customHeight="1">
      <c r="B2124" s="503"/>
    </row>
    <row r="2125" spans="2:2" ht="12" customHeight="1">
      <c r="B2125" s="503"/>
    </row>
    <row r="2126" spans="2:2" ht="12" customHeight="1">
      <c r="B2126" s="503"/>
    </row>
    <row r="2127" spans="2:2" ht="12" customHeight="1">
      <c r="B2127" s="503"/>
    </row>
    <row r="2128" spans="2:2" ht="12" customHeight="1">
      <c r="B2128" s="503"/>
    </row>
    <row r="2129" spans="2:2" ht="12" customHeight="1">
      <c r="B2129" s="503"/>
    </row>
    <row r="2130" spans="2:2" ht="12" customHeight="1">
      <c r="B2130" s="503"/>
    </row>
    <row r="2131" spans="2:2" ht="12" customHeight="1">
      <c r="B2131" s="503"/>
    </row>
    <row r="2132" spans="2:2" ht="12" customHeight="1">
      <c r="B2132" s="503"/>
    </row>
    <row r="2133" spans="2:2" ht="12" customHeight="1">
      <c r="B2133" s="503"/>
    </row>
    <row r="2134" spans="2:2" ht="12" customHeight="1">
      <c r="B2134" s="503"/>
    </row>
    <row r="2135" spans="2:2" ht="12" customHeight="1">
      <c r="B2135" s="503"/>
    </row>
    <row r="2136" spans="2:2" ht="12" customHeight="1">
      <c r="B2136" s="503"/>
    </row>
    <row r="2137" spans="2:2" ht="12" customHeight="1">
      <c r="B2137" s="503"/>
    </row>
    <row r="2138" spans="2:2" ht="12" customHeight="1">
      <c r="B2138" s="503"/>
    </row>
    <row r="2139" spans="2:2" ht="12" customHeight="1">
      <c r="B2139" s="503"/>
    </row>
    <row r="2140" spans="2:2" ht="12" customHeight="1">
      <c r="B2140" s="503"/>
    </row>
    <row r="2141" spans="2:2" ht="12" customHeight="1">
      <c r="B2141" s="503"/>
    </row>
    <row r="2142" spans="2:2" ht="12" customHeight="1">
      <c r="B2142" s="503"/>
    </row>
    <row r="2143" spans="2:2" ht="12" customHeight="1">
      <c r="B2143" s="503"/>
    </row>
    <row r="2144" spans="2:2" ht="12" customHeight="1">
      <c r="B2144" s="503"/>
    </row>
    <row r="2145" spans="2:2" ht="12" customHeight="1">
      <c r="B2145" s="503"/>
    </row>
    <row r="2146" spans="2:2" ht="12" customHeight="1">
      <c r="B2146" s="503"/>
    </row>
    <row r="2147" spans="2:2" ht="12" customHeight="1">
      <c r="B2147" s="503"/>
    </row>
    <row r="2148" spans="2:2" ht="12" customHeight="1">
      <c r="B2148" s="503"/>
    </row>
    <row r="2149" spans="2:2" ht="12" customHeight="1">
      <c r="B2149" s="503"/>
    </row>
    <row r="2150" spans="2:2" ht="12" customHeight="1">
      <c r="B2150" s="503"/>
    </row>
    <row r="2151" spans="2:2" ht="12" customHeight="1">
      <c r="B2151" s="503"/>
    </row>
    <row r="2152" spans="2:2" ht="12" customHeight="1">
      <c r="B2152" s="503"/>
    </row>
    <row r="2153" spans="2:2" ht="12" customHeight="1">
      <c r="B2153" s="503"/>
    </row>
    <row r="2154" spans="2:2" ht="12" customHeight="1">
      <c r="B2154" s="503"/>
    </row>
    <row r="2155" spans="2:2" ht="12" customHeight="1">
      <c r="B2155" s="503"/>
    </row>
    <row r="2156" spans="2:2" ht="12" customHeight="1">
      <c r="B2156" s="503"/>
    </row>
    <row r="2157" spans="2:2" ht="12" customHeight="1">
      <c r="B2157" s="503"/>
    </row>
    <row r="2158" spans="2:2" ht="12" customHeight="1">
      <c r="B2158" s="503"/>
    </row>
    <row r="2159" spans="2:2" ht="12" customHeight="1">
      <c r="B2159" s="503"/>
    </row>
    <row r="2160" spans="2:2" ht="12" customHeight="1">
      <c r="B2160" s="503"/>
    </row>
    <row r="2161" spans="2:2" ht="12" customHeight="1">
      <c r="B2161" s="503"/>
    </row>
    <row r="2162" spans="2:2" ht="12" customHeight="1">
      <c r="B2162" s="503"/>
    </row>
    <row r="2163" spans="2:2" ht="12" customHeight="1">
      <c r="B2163" s="503"/>
    </row>
    <row r="2164" spans="2:2" ht="12" customHeight="1">
      <c r="B2164" s="503"/>
    </row>
    <row r="2165" spans="2:2" ht="12" customHeight="1">
      <c r="B2165" s="503"/>
    </row>
    <row r="2166" spans="2:2" ht="12" customHeight="1">
      <c r="B2166" s="503"/>
    </row>
    <row r="2167" spans="2:2" ht="12" customHeight="1">
      <c r="B2167" s="503"/>
    </row>
    <row r="2168" spans="2:2" ht="12" customHeight="1">
      <c r="B2168" s="503"/>
    </row>
    <row r="2169" spans="2:2" ht="12" customHeight="1">
      <c r="B2169" s="503"/>
    </row>
    <row r="2170" spans="2:2" ht="12" customHeight="1">
      <c r="B2170" s="503"/>
    </row>
    <row r="2171" spans="2:2" ht="12" customHeight="1">
      <c r="B2171" s="503"/>
    </row>
    <row r="2172" spans="2:2" ht="12" customHeight="1">
      <c r="B2172" s="503"/>
    </row>
    <row r="2173" spans="2:2" ht="12" customHeight="1">
      <c r="B2173" s="503"/>
    </row>
    <row r="2174" spans="2:2" ht="12" customHeight="1">
      <c r="B2174" s="503"/>
    </row>
    <row r="2175" spans="2:2" ht="12" customHeight="1">
      <c r="B2175" s="503"/>
    </row>
    <row r="2176" spans="2:2" ht="12" customHeight="1">
      <c r="B2176" s="503"/>
    </row>
    <row r="2177" spans="2:2" ht="12" customHeight="1">
      <c r="B2177" s="503"/>
    </row>
    <row r="2178" spans="2:2" ht="12" customHeight="1">
      <c r="B2178" s="503"/>
    </row>
    <row r="2179" spans="2:2" ht="12" customHeight="1">
      <c r="B2179" s="503"/>
    </row>
    <row r="2180" spans="2:2" ht="12" customHeight="1">
      <c r="B2180" s="503"/>
    </row>
    <row r="2181" spans="2:2" ht="12" customHeight="1">
      <c r="B2181" s="503"/>
    </row>
    <row r="2182" spans="2:2" ht="12" customHeight="1">
      <c r="B2182" s="503"/>
    </row>
    <row r="2183" spans="2:2" ht="12" customHeight="1">
      <c r="B2183" s="503"/>
    </row>
    <row r="2184" spans="2:2" ht="12" customHeight="1">
      <c r="B2184" s="503"/>
    </row>
    <row r="2185" spans="2:2" ht="12" customHeight="1">
      <c r="B2185" s="503"/>
    </row>
    <row r="2186" spans="2:2" ht="12" customHeight="1">
      <c r="B2186" s="503"/>
    </row>
    <row r="2187" spans="2:2" ht="12" customHeight="1">
      <c r="B2187" s="503"/>
    </row>
    <row r="2188" spans="2:2" ht="12" customHeight="1">
      <c r="B2188" s="503"/>
    </row>
    <row r="2189" spans="2:2" ht="12" customHeight="1">
      <c r="B2189" s="503"/>
    </row>
    <row r="2190" spans="2:2" ht="12" customHeight="1">
      <c r="B2190" s="503"/>
    </row>
    <row r="2191" spans="2:2" ht="12" customHeight="1">
      <c r="B2191" s="503"/>
    </row>
    <row r="2192" spans="2:2" ht="12" customHeight="1">
      <c r="B2192" s="503"/>
    </row>
    <row r="2193" spans="2:2" ht="12" customHeight="1">
      <c r="B2193" s="503"/>
    </row>
    <row r="2194" spans="2:2" ht="12" customHeight="1">
      <c r="B2194" s="503"/>
    </row>
    <row r="2195" spans="2:2" ht="12" customHeight="1">
      <c r="B2195" s="503"/>
    </row>
    <row r="2196" spans="2:2" ht="12" customHeight="1">
      <c r="B2196" s="503"/>
    </row>
    <row r="2197" spans="2:2" ht="12" customHeight="1">
      <c r="B2197" s="503"/>
    </row>
    <row r="2198" spans="2:2" ht="12" customHeight="1">
      <c r="B2198" s="503"/>
    </row>
    <row r="2199" spans="2:2" ht="12" customHeight="1">
      <c r="B2199" s="503"/>
    </row>
    <row r="2200" spans="2:2" ht="12" customHeight="1">
      <c r="B2200" s="503"/>
    </row>
    <row r="2201" spans="2:2" ht="12" customHeight="1">
      <c r="B2201" s="503"/>
    </row>
    <row r="2202" spans="2:2" ht="12" customHeight="1">
      <c r="B2202" s="503"/>
    </row>
    <row r="2203" spans="2:2" ht="12" customHeight="1">
      <c r="B2203" s="503"/>
    </row>
    <row r="2204" spans="2:2" ht="12" customHeight="1">
      <c r="B2204" s="503"/>
    </row>
    <row r="2205" spans="2:2" ht="12" customHeight="1">
      <c r="B2205" s="503"/>
    </row>
    <row r="2206" spans="2:2" ht="12" customHeight="1">
      <c r="B2206" s="503"/>
    </row>
    <row r="2207" spans="2:2" ht="12" customHeight="1">
      <c r="B2207" s="503"/>
    </row>
    <row r="2208" spans="2:2" ht="12" customHeight="1">
      <c r="B2208" s="503"/>
    </row>
    <row r="2209" spans="2:2" ht="12" customHeight="1">
      <c r="B2209" s="503"/>
    </row>
    <row r="2210" spans="2:2" ht="12" customHeight="1">
      <c r="B2210" s="503"/>
    </row>
    <row r="2211" spans="2:2" ht="12" customHeight="1">
      <c r="B2211" s="503"/>
    </row>
    <row r="2212" spans="2:2" ht="12" customHeight="1">
      <c r="B2212" s="503"/>
    </row>
    <row r="2213" spans="2:2" ht="12" customHeight="1">
      <c r="B2213" s="503"/>
    </row>
    <row r="2214" spans="2:2" ht="12" customHeight="1">
      <c r="B2214" s="503"/>
    </row>
    <row r="2215" spans="2:2" ht="12" customHeight="1">
      <c r="B2215" s="503"/>
    </row>
    <row r="2216" spans="2:2" ht="12" customHeight="1">
      <c r="B2216" s="503"/>
    </row>
    <row r="2217" spans="2:2" ht="12" customHeight="1">
      <c r="B2217" s="503"/>
    </row>
    <row r="2218" spans="2:2" ht="12" customHeight="1">
      <c r="B2218" s="503"/>
    </row>
    <row r="2219" spans="2:2" ht="12" customHeight="1">
      <c r="B2219" s="503"/>
    </row>
    <row r="2220" spans="2:2" ht="12" customHeight="1">
      <c r="B2220" s="503"/>
    </row>
    <row r="2221" spans="2:2" ht="12" customHeight="1">
      <c r="B2221" s="503"/>
    </row>
    <row r="2222" spans="2:2" ht="12" customHeight="1">
      <c r="B2222" s="503"/>
    </row>
    <row r="2223" spans="2:2" ht="12" customHeight="1">
      <c r="B2223" s="503"/>
    </row>
    <row r="2224" spans="2:2" ht="12" customHeight="1">
      <c r="B2224" s="503"/>
    </row>
    <row r="2225" spans="2:2" ht="12" customHeight="1">
      <c r="B2225" s="503"/>
    </row>
    <row r="2226" spans="2:2" ht="12" customHeight="1">
      <c r="B2226" s="503"/>
    </row>
    <row r="2227" spans="2:2" ht="12" customHeight="1">
      <c r="B2227" s="503"/>
    </row>
    <row r="2228" spans="2:2" ht="12" customHeight="1">
      <c r="B2228" s="503"/>
    </row>
    <row r="2229" spans="2:2" ht="12" customHeight="1">
      <c r="B2229" s="503"/>
    </row>
    <row r="2230" spans="2:2" ht="12" customHeight="1">
      <c r="B2230" s="503"/>
    </row>
    <row r="2231" spans="2:2" ht="12" customHeight="1">
      <c r="B2231" s="503"/>
    </row>
    <row r="2232" spans="2:2" ht="12" customHeight="1">
      <c r="B2232" s="503"/>
    </row>
    <row r="2233" spans="2:2" ht="12" customHeight="1">
      <c r="B2233" s="503"/>
    </row>
    <row r="2234" spans="2:2" ht="12" customHeight="1">
      <c r="B2234" s="503"/>
    </row>
    <row r="2235" spans="2:2" ht="12" customHeight="1">
      <c r="B2235" s="503"/>
    </row>
    <row r="2236" spans="2:2" ht="12" customHeight="1">
      <c r="B2236" s="503"/>
    </row>
    <row r="2237" spans="2:2" ht="12" customHeight="1">
      <c r="B2237" s="503"/>
    </row>
    <row r="2238" spans="2:2" ht="12" customHeight="1">
      <c r="B2238" s="503"/>
    </row>
    <row r="2239" spans="2:2" ht="12" customHeight="1">
      <c r="B2239" s="503"/>
    </row>
    <row r="2240" spans="2:2" ht="12" customHeight="1">
      <c r="B2240" s="503"/>
    </row>
    <row r="2241" spans="2:2" ht="12" customHeight="1">
      <c r="B2241" s="503"/>
    </row>
    <row r="2242" spans="2:2" ht="12" customHeight="1">
      <c r="B2242" s="503"/>
    </row>
    <row r="2243" spans="2:2" ht="12" customHeight="1">
      <c r="B2243" s="503"/>
    </row>
    <row r="2244" spans="2:2" ht="12" customHeight="1">
      <c r="B2244" s="503"/>
    </row>
    <row r="2245" spans="2:2" ht="12" customHeight="1">
      <c r="B2245" s="503"/>
    </row>
    <row r="2246" spans="2:2" ht="12" customHeight="1">
      <c r="B2246" s="503"/>
    </row>
    <row r="2247" spans="2:2" ht="12" customHeight="1">
      <c r="B2247" s="503"/>
    </row>
    <row r="2248" spans="2:2" ht="12" customHeight="1">
      <c r="B2248" s="503"/>
    </row>
    <row r="2249" spans="2:2" ht="12" customHeight="1">
      <c r="B2249" s="503"/>
    </row>
    <row r="2250" spans="2:2" ht="12" customHeight="1">
      <c r="B2250" s="503"/>
    </row>
    <row r="2251" spans="2:2" ht="12" customHeight="1">
      <c r="B2251" s="503"/>
    </row>
    <row r="2252" spans="2:2" ht="12" customHeight="1">
      <c r="B2252" s="503"/>
    </row>
    <row r="2253" spans="2:2" ht="12" customHeight="1">
      <c r="B2253" s="503"/>
    </row>
    <row r="2254" spans="2:2" ht="12" customHeight="1">
      <c r="B2254" s="503"/>
    </row>
    <row r="2255" spans="2:2" ht="12" customHeight="1">
      <c r="B2255" s="503"/>
    </row>
    <row r="2256" spans="2:2" ht="12" customHeight="1">
      <c r="B2256" s="503"/>
    </row>
    <row r="2257" spans="2:2" ht="12" customHeight="1">
      <c r="B2257" s="503"/>
    </row>
    <row r="2258" spans="2:2" ht="12" customHeight="1">
      <c r="B2258" s="503"/>
    </row>
    <row r="2259" spans="2:2" ht="12" customHeight="1">
      <c r="B2259" s="503"/>
    </row>
    <row r="2260" spans="2:2" ht="12" customHeight="1">
      <c r="B2260" s="503"/>
    </row>
    <row r="2261" spans="2:2" ht="12" customHeight="1">
      <c r="B2261" s="503"/>
    </row>
    <row r="2262" spans="2:2" ht="12" customHeight="1">
      <c r="B2262" s="503"/>
    </row>
    <row r="2263" spans="2:2" ht="12" customHeight="1">
      <c r="B2263" s="503"/>
    </row>
    <row r="2264" spans="2:2" ht="12" customHeight="1">
      <c r="B2264" s="503"/>
    </row>
    <row r="2265" spans="2:2" ht="12" customHeight="1">
      <c r="B2265" s="503"/>
    </row>
    <row r="2266" spans="2:2" ht="12" customHeight="1">
      <c r="B2266" s="503"/>
    </row>
    <row r="2267" spans="2:2" ht="12" customHeight="1">
      <c r="B2267" s="503"/>
    </row>
    <row r="2268" spans="2:2" ht="12" customHeight="1">
      <c r="B2268" s="503"/>
    </row>
    <row r="2269" spans="2:2" ht="12" customHeight="1">
      <c r="B2269" s="503"/>
    </row>
    <row r="2270" spans="2:2" ht="12" customHeight="1">
      <c r="B2270" s="503"/>
    </row>
    <row r="2271" spans="2:2" ht="12" customHeight="1">
      <c r="B2271" s="503"/>
    </row>
    <row r="2272" spans="2:2" ht="12" customHeight="1">
      <c r="B2272" s="503"/>
    </row>
    <row r="2273" spans="2:2" ht="12" customHeight="1">
      <c r="B2273" s="503"/>
    </row>
    <row r="2274" spans="2:2" ht="12" customHeight="1">
      <c r="B2274" s="503"/>
    </row>
    <row r="2275" spans="2:2" ht="12" customHeight="1">
      <c r="B2275" s="503"/>
    </row>
    <row r="2276" spans="2:2" ht="12" customHeight="1">
      <c r="B2276" s="503"/>
    </row>
    <row r="2277" spans="2:2" ht="12" customHeight="1">
      <c r="B2277" s="503"/>
    </row>
    <row r="2278" spans="2:2" ht="12" customHeight="1">
      <c r="B2278" s="503"/>
    </row>
    <row r="2279" spans="2:2" ht="12" customHeight="1">
      <c r="B2279" s="503"/>
    </row>
    <row r="2280" spans="2:2" ht="12" customHeight="1">
      <c r="B2280" s="503"/>
    </row>
    <row r="2281" spans="2:2" ht="12" customHeight="1">
      <c r="B2281" s="503"/>
    </row>
    <row r="2282" spans="2:2" ht="12" customHeight="1">
      <c r="B2282" s="503"/>
    </row>
    <row r="2283" spans="2:2" ht="12" customHeight="1">
      <c r="B2283" s="503"/>
    </row>
    <row r="2284" spans="2:2" ht="12" customHeight="1">
      <c r="B2284" s="503"/>
    </row>
    <row r="2285" spans="2:2" ht="12" customHeight="1">
      <c r="B2285" s="503"/>
    </row>
    <row r="2286" spans="2:2" ht="12" customHeight="1">
      <c r="B2286" s="503"/>
    </row>
    <row r="2287" spans="2:2" ht="12" customHeight="1">
      <c r="B2287" s="503"/>
    </row>
    <row r="2288" spans="2:2" ht="12" customHeight="1">
      <c r="B2288" s="503"/>
    </row>
    <row r="2289" spans="2:2" ht="12" customHeight="1">
      <c r="B2289" s="503"/>
    </row>
    <row r="2290" spans="2:2" ht="12" customHeight="1">
      <c r="B2290" s="503"/>
    </row>
    <row r="2291" spans="2:2" ht="12" customHeight="1">
      <c r="B2291" s="503"/>
    </row>
    <row r="2292" spans="2:2" ht="12" customHeight="1">
      <c r="B2292" s="503"/>
    </row>
    <row r="2293" spans="2:2" ht="12" customHeight="1">
      <c r="B2293" s="503"/>
    </row>
    <row r="2294" spans="2:2" ht="12" customHeight="1">
      <c r="B2294" s="503"/>
    </row>
    <row r="2295" spans="2:2" ht="12" customHeight="1">
      <c r="B2295" s="503"/>
    </row>
    <row r="2296" spans="2:2" ht="12" customHeight="1">
      <c r="B2296" s="503"/>
    </row>
    <row r="2297" spans="2:2" ht="12" customHeight="1">
      <c r="B2297" s="503"/>
    </row>
    <row r="2298" spans="2:2" ht="12" customHeight="1">
      <c r="B2298" s="503"/>
    </row>
    <row r="2299" spans="2:2" ht="12" customHeight="1">
      <c r="B2299" s="503"/>
    </row>
    <row r="2300" spans="2:2" ht="12" customHeight="1">
      <c r="B2300" s="503"/>
    </row>
    <row r="2301" spans="2:2" ht="12" customHeight="1">
      <c r="B2301" s="503"/>
    </row>
    <row r="2302" spans="2:2" ht="12" customHeight="1">
      <c r="B2302" s="503"/>
    </row>
    <row r="2303" spans="2:2" ht="12" customHeight="1">
      <c r="B2303" s="503"/>
    </row>
    <row r="2304" spans="2:2" ht="12" customHeight="1">
      <c r="B2304" s="503"/>
    </row>
    <row r="2305" spans="2:2" ht="12" customHeight="1">
      <c r="B2305" s="503"/>
    </row>
    <row r="2306" spans="2:2" ht="12" customHeight="1">
      <c r="B2306" s="503"/>
    </row>
    <row r="2307" spans="2:2" ht="12" customHeight="1">
      <c r="B2307" s="503"/>
    </row>
    <row r="2308" spans="2:2" ht="12" customHeight="1">
      <c r="B2308" s="503"/>
    </row>
    <row r="2309" spans="2:2" ht="12" customHeight="1">
      <c r="B2309" s="503"/>
    </row>
    <row r="2310" spans="2:2" ht="12" customHeight="1">
      <c r="B2310" s="503"/>
    </row>
    <row r="2311" spans="2:2" ht="12" customHeight="1">
      <c r="B2311" s="503"/>
    </row>
    <row r="2312" spans="2:2" ht="12" customHeight="1">
      <c r="B2312" s="503"/>
    </row>
    <row r="2313" spans="2:2" ht="12" customHeight="1">
      <c r="B2313" s="503"/>
    </row>
    <row r="2314" spans="2:2" ht="12" customHeight="1">
      <c r="B2314" s="503"/>
    </row>
    <row r="2315" spans="2:2" ht="12" customHeight="1">
      <c r="B2315" s="503"/>
    </row>
    <row r="2316" spans="2:2" ht="12" customHeight="1">
      <c r="B2316" s="503"/>
    </row>
    <row r="2317" spans="2:2" ht="12" customHeight="1">
      <c r="B2317" s="503"/>
    </row>
    <row r="2318" spans="2:2" ht="12" customHeight="1">
      <c r="B2318" s="503"/>
    </row>
    <row r="2319" spans="2:2" ht="12" customHeight="1">
      <c r="B2319" s="503"/>
    </row>
    <row r="2320" spans="2:2" ht="12" customHeight="1">
      <c r="B2320" s="503"/>
    </row>
    <row r="2321" spans="2:2" ht="12" customHeight="1">
      <c r="B2321" s="503"/>
    </row>
    <row r="2322" spans="2:2" ht="12" customHeight="1">
      <c r="B2322" s="503"/>
    </row>
    <row r="2323" spans="2:2" ht="12" customHeight="1">
      <c r="B2323" s="503"/>
    </row>
    <row r="2324" spans="2:2" ht="12" customHeight="1">
      <c r="B2324" s="503"/>
    </row>
    <row r="2325" spans="2:2" ht="12" customHeight="1">
      <c r="B2325" s="503"/>
    </row>
    <row r="2326" spans="2:2" ht="12" customHeight="1">
      <c r="B2326" s="503"/>
    </row>
    <row r="2327" spans="2:2" ht="12" customHeight="1">
      <c r="B2327" s="503"/>
    </row>
    <row r="2328" spans="2:2" ht="12" customHeight="1">
      <c r="B2328" s="503"/>
    </row>
    <row r="2329" spans="2:2" ht="12" customHeight="1">
      <c r="B2329" s="503"/>
    </row>
    <row r="2330" spans="2:2" ht="12" customHeight="1">
      <c r="B2330" s="503"/>
    </row>
    <row r="2331" spans="2:2" ht="12" customHeight="1">
      <c r="B2331" s="503"/>
    </row>
    <row r="2332" spans="2:2" ht="12" customHeight="1">
      <c r="B2332" s="503"/>
    </row>
    <row r="2333" spans="2:2" ht="12" customHeight="1">
      <c r="B2333" s="503"/>
    </row>
    <row r="2334" spans="2:2" ht="12" customHeight="1">
      <c r="B2334" s="503"/>
    </row>
    <row r="2335" spans="2:2" ht="12" customHeight="1">
      <c r="B2335" s="503"/>
    </row>
    <row r="2336" spans="2:2" ht="12" customHeight="1">
      <c r="B2336" s="503"/>
    </row>
    <row r="2337" spans="2:2" ht="12" customHeight="1">
      <c r="B2337" s="503"/>
    </row>
    <row r="2338" spans="2:2" ht="12" customHeight="1">
      <c r="B2338" s="503"/>
    </row>
    <row r="2339" spans="2:2" ht="12" customHeight="1">
      <c r="B2339" s="503"/>
    </row>
    <row r="2340" spans="2:2" ht="12" customHeight="1">
      <c r="B2340" s="503"/>
    </row>
    <row r="2341" spans="2:2" ht="12" customHeight="1">
      <c r="B2341" s="503"/>
    </row>
    <row r="2342" spans="2:2" ht="12" customHeight="1">
      <c r="B2342" s="503"/>
    </row>
    <row r="2343" spans="2:2" ht="12" customHeight="1">
      <c r="B2343" s="503"/>
    </row>
    <row r="2344" spans="2:2" ht="12" customHeight="1">
      <c r="B2344" s="503"/>
    </row>
    <row r="2345" spans="2:2" ht="12" customHeight="1">
      <c r="B2345" s="503"/>
    </row>
    <row r="2346" spans="2:2" ht="12" customHeight="1">
      <c r="B2346" s="503"/>
    </row>
    <row r="2347" spans="2:2" ht="12" customHeight="1">
      <c r="B2347" s="503"/>
    </row>
    <row r="2348" spans="2:2" ht="12" customHeight="1">
      <c r="B2348" s="503"/>
    </row>
    <row r="2349" spans="2:2" ht="12" customHeight="1">
      <c r="B2349" s="503"/>
    </row>
    <row r="2350" spans="2:2" ht="12" customHeight="1">
      <c r="B2350" s="503"/>
    </row>
    <row r="2351" spans="2:2" ht="12" customHeight="1">
      <c r="B2351" s="503"/>
    </row>
    <row r="2352" spans="2:2" ht="12" customHeight="1">
      <c r="B2352" s="503"/>
    </row>
    <row r="2353" spans="2:2" ht="12" customHeight="1">
      <c r="B2353" s="503"/>
    </row>
    <row r="2354" spans="2:2" ht="12" customHeight="1">
      <c r="B2354" s="503"/>
    </row>
    <row r="2355" spans="2:2" ht="12" customHeight="1">
      <c r="B2355" s="503"/>
    </row>
    <row r="2356" spans="2:2" ht="12" customHeight="1">
      <c r="B2356" s="503"/>
    </row>
    <row r="2357" spans="2:2" ht="12" customHeight="1">
      <c r="B2357" s="503"/>
    </row>
    <row r="2358" spans="2:2" ht="12" customHeight="1">
      <c r="B2358" s="503"/>
    </row>
    <row r="2359" spans="2:2" ht="12" customHeight="1">
      <c r="B2359" s="503"/>
    </row>
    <row r="2360" spans="2:2" ht="12" customHeight="1">
      <c r="B2360" s="503"/>
    </row>
    <row r="2361" spans="2:2" ht="12" customHeight="1">
      <c r="B2361" s="503"/>
    </row>
    <row r="2362" spans="2:2" ht="12" customHeight="1">
      <c r="B2362" s="503"/>
    </row>
    <row r="2363" spans="2:2" ht="12" customHeight="1">
      <c r="B2363" s="503"/>
    </row>
    <row r="2364" spans="2:2" ht="12" customHeight="1">
      <c r="B2364" s="503"/>
    </row>
    <row r="2365" spans="2:2" ht="12" customHeight="1">
      <c r="B2365" s="503"/>
    </row>
    <row r="2366" spans="2:2" ht="12" customHeight="1">
      <c r="B2366" s="503"/>
    </row>
    <row r="2367" spans="2:2" ht="12" customHeight="1">
      <c r="B2367" s="503"/>
    </row>
    <row r="2368" spans="2:2" ht="12" customHeight="1">
      <c r="B2368" s="503"/>
    </row>
    <row r="2369" spans="2:2" ht="12" customHeight="1">
      <c r="B2369" s="503"/>
    </row>
    <row r="2370" spans="2:2" ht="12" customHeight="1">
      <c r="B2370" s="503"/>
    </row>
    <row r="2371" spans="2:2" ht="12" customHeight="1">
      <c r="B2371" s="503"/>
    </row>
    <row r="2372" spans="2:2" ht="12" customHeight="1">
      <c r="B2372" s="503"/>
    </row>
    <row r="2373" spans="2:2" ht="12" customHeight="1">
      <c r="B2373" s="503"/>
    </row>
    <row r="2374" spans="2:2" ht="12" customHeight="1">
      <c r="B2374" s="503"/>
    </row>
    <row r="2375" spans="2:2" ht="12" customHeight="1">
      <c r="B2375" s="503"/>
    </row>
    <row r="2376" spans="2:2" ht="12" customHeight="1">
      <c r="B2376" s="503"/>
    </row>
    <row r="2377" spans="2:2" ht="12" customHeight="1">
      <c r="B2377" s="503"/>
    </row>
    <row r="2378" spans="2:2" ht="12" customHeight="1">
      <c r="B2378" s="503"/>
    </row>
    <row r="2379" spans="2:2" ht="12" customHeight="1">
      <c r="B2379" s="503"/>
    </row>
    <row r="2380" spans="2:2" ht="12" customHeight="1">
      <c r="B2380" s="503"/>
    </row>
    <row r="2381" spans="2:2" ht="12" customHeight="1">
      <c r="B2381" s="503"/>
    </row>
    <row r="2382" spans="2:2" ht="12" customHeight="1">
      <c r="B2382" s="503"/>
    </row>
    <row r="2383" spans="2:2" ht="12" customHeight="1">
      <c r="B2383" s="503"/>
    </row>
    <row r="2384" spans="2:2" ht="12" customHeight="1">
      <c r="B2384" s="503"/>
    </row>
    <row r="2385" spans="2:2" ht="12" customHeight="1">
      <c r="B2385" s="503"/>
    </row>
    <row r="2386" spans="2:2" ht="12" customHeight="1">
      <c r="B2386" s="503"/>
    </row>
    <row r="2387" spans="2:2" ht="12" customHeight="1">
      <c r="B2387" s="503"/>
    </row>
    <row r="2388" spans="2:2" ht="12" customHeight="1">
      <c r="B2388" s="503"/>
    </row>
    <row r="2389" spans="2:2" ht="12" customHeight="1">
      <c r="B2389" s="503"/>
    </row>
    <row r="2390" spans="2:2" ht="12" customHeight="1">
      <c r="B2390" s="503"/>
    </row>
    <row r="2391" spans="2:2" ht="12" customHeight="1">
      <c r="B2391" s="503"/>
    </row>
    <row r="2392" spans="2:2" ht="12" customHeight="1">
      <c r="B2392" s="503"/>
    </row>
    <row r="2393" spans="2:2" ht="12" customHeight="1">
      <c r="B2393" s="503"/>
    </row>
    <row r="2394" spans="2:2" ht="12" customHeight="1">
      <c r="B2394" s="503"/>
    </row>
    <row r="2395" spans="2:2" ht="12" customHeight="1">
      <c r="B2395" s="503"/>
    </row>
    <row r="2396" spans="2:2" ht="12" customHeight="1">
      <c r="B2396" s="503"/>
    </row>
    <row r="2397" spans="2:2" ht="12" customHeight="1">
      <c r="B2397" s="503"/>
    </row>
    <row r="2398" spans="2:2" ht="12" customHeight="1">
      <c r="B2398" s="503"/>
    </row>
    <row r="2399" spans="2:2" ht="12" customHeight="1">
      <c r="B2399" s="503"/>
    </row>
    <row r="2400" spans="2:2" ht="12" customHeight="1">
      <c r="B2400" s="503"/>
    </row>
    <row r="2401" spans="2:2" ht="12" customHeight="1">
      <c r="B2401" s="503"/>
    </row>
    <row r="2402" spans="2:2" ht="12" customHeight="1">
      <c r="B2402" s="503"/>
    </row>
    <row r="2403" spans="2:2" ht="12" customHeight="1">
      <c r="B2403" s="503"/>
    </row>
    <row r="2404" spans="2:2" ht="12" customHeight="1">
      <c r="B2404" s="503"/>
    </row>
    <row r="2405" spans="2:2" ht="12" customHeight="1">
      <c r="B2405" s="503"/>
    </row>
    <row r="2406" spans="2:2" ht="12" customHeight="1">
      <c r="B2406" s="503"/>
    </row>
    <row r="2407" spans="2:2" ht="12" customHeight="1">
      <c r="B2407" s="503"/>
    </row>
    <row r="2408" spans="2:2" ht="12" customHeight="1">
      <c r="B2408" s="503"/>
    </row>
    <row r="2409" spans="2:2" ht="12" customHeight="1">
      <c r="B2409" s="503"/>
    </row>
    <row r="2410" spans="2:2" ht="12" customHeight="1">
      <c r="B2410" s="503"/>
    </row>
    <row r="2411" spans="2:2" ht="12" customHeight="1">
      <c r="B2411" s="503"/>
    </row>
    <row r="2412" spans="2:2" ht="12" customHeight="1">
      <c r="B2412" s="503"/>
    </row>
    <row r="2413" spans="2:2" ht="12" customHeight="1">
      <c r="B2413" s="503"/>
    </row>
    <row r="2414" spans="2:2" ht="12" customHeight="1">
      <c r="B2414" s="503"/>
    </row>
    <row r="2415" spans="2:2" ht="12" customHeight="1">
      <c r="B2415" s="503"/>
    </row>
    <row r="2416" spans="2:2" ht="12" customHeight="1">
      <c r="B2416" s="503"/>
    </row>
    <row r="2417" spans="2:2" ht="12" customHeight="1">
      <c r="B2417" s="503"/>
    </row>
    <row r="2418" spans="2:2" ht="12" customHeight="1">
      <c r="B2418" s="503"/>
    </row>
    <row r="2419" spans="2:2" ht="12" customHeight="1">
      <c r="B2419" s="503"/>
    </row>
    <row r="2420" spans="2:2" ht="12" customHeight="1">
      <c r="B2420" s="503"/>
    </row>
    <row r="2421" spans="2:2" ht="12" customHeight="1">
      <c r="B2421" s="503"/>
    </row>
    <row r="2422" spans="2:2" ht="12" customHeight="1">
      <c r="B2422" s="503"/>
    </row>
    <row r="2423" spans="2:2" ht="12" customHeight="1">
      <c r="B2423" s="503"/>
    </row>
    <row r="2424" spans="2:2" ht="12" customHeight="1">
      <c r="B2424" s="503"/>
    </row>
    <row r="2425" spans="2:2" ht="12" customHeight="1">
      <c r="B2425" s="503"/>
    </row>
    <row r="2426" spans="2:2" ht="12" customHeight="1">
      <c r="B2426" s="503"/>
    </row>
    <row r="2427" spans="2:2" ht="12" customHeight="1">
      <c r="B2427" s="503"/>
    </row>
    <row r="2428" spans="2:2" ht="12" customHeight="1">
      <c r="B2428" s="503"/>
    </row>
    <row r="2429" spans="2:2" ht="12" customHeight="1">
      <c r="B2429" s="503"/>
    </row>
    <row r="2430" spans="2:2" ht="12" customHeight="1">
      <c r="B2430" s="503"/>
    </row>
    <row r="2431" spans="2:2" ht="12" customHeight="1">
      <c r="B2431" s="503"/>
    </row>
    <row r="2432" spans="2:2" ht="12" customHeight="1">
      <c r="B2432" s="503"/>
    </row>
    <row r="2433" spans="2:2" ht="12" customHeight="1">
      <c r="B2433" s="503"/>
    </row>
    <row r="2434" spans="2:2" ht="12" customHeight="1">
      <c r="B2434" s="503"/>
    </row>
    <row r="2435" spans="2:2" ht="12" customHeight="1">
      <c r="B2435" s="503"/>
    </row>
    <row r="2436" spans="2:2" ht="12" customHeight="1">
      <c r="B2436" s="503"/>
    </row>
    <row r="2437" spans="2:2" ht="12" customHeight="1">
      <c r="B2437" s="503"/>
    </row>
    <row r="2438" spans="2:2" ht="12" customHeight="1">
      <c r="B2438" s="503"/>
    </row>
    <row r="2439" spans="2:2" ht="12" customHeight="1">
      <c r="B2439" s="503"/>
    </row>
    <row r="2440" spans="2:2" ht="12" customHeight="1">
      <c r="B2440" s="503"/>
    </row>
    <row r="2441" spans="2:2" ht="12" customHeight="1">
      <c r="B2441" s="503"/>
    </row>
    <row r="2442" spans="2:2" ht="12" customHeight="1">
      <c r="B2442" s="503"/>
    </row>
    <row r="2443" spans="2:2" ht="12" customHeight="1">
      <c r="B2443" s="503"/>
    </row>
    <row r="2444" spans="2:2" ht="12" customHeight="1">
      <c r="B2444" s="503"/>
    </row>
    <row r="2445" spans="2:2" ht="12" customHeight="1">
      <c r="B2445" s="503"/>
    </row>
    <row r="2446" spans="2:2" ht="12" customHeight="1">
      <c r="B2446" s="503"/>
    </row>
    <row r="2447" spans="2:2" ht="12" customHeight="1">
      <c r="B2447" s="503"/>
    </row>
    <row r="2448" spans="2:2" ht="12" customHeight="1">
      <c r="B2448" s="503"/>
    </row>
    <row r="2449" spans="2:2" ht="12" customHeight="1">
      <c r="B2449" s="503"/>
    </row>
    <row r="2450" spans="2:2" ht="12" customHeight="1">
      <c r="B2450" s="503"/>
    </row>
    <row r="2451" spans="2:2" ht="12" customHeight="1">
      <c r="B2451" s="503"/>
    </row>
    <row r="2452" spans="2:2" ht="12" customHeight="1">
      <c r="B2452" s="503"/>
    </row>
    <row r="2453" spans="2:2" ht="12" customHeight="1">
      <c r="B2453" s="503"/>
    </row>
    <row r="2454" spans="2:2" ht="12" customHeight="1">
      <c r="B2454" s="503"/>
    </row>
    <row r="2455" spans="2:2" ht="12" customHeight="1">
      <c r="B2455" s="503"/>
    </row>
    <row r="2456" spans="2:2" ht="12" customHeight="1">
      <c r="B2456" s="503"/>
    </row>
    <row r="2457" spans="2:2" ht="12" customHeight="1">
      <c r="B2457" s="503"/>
    </row>
    <row r="2458" spans="2:2" ht="12" customHeight="1">
      <c r="B2458" s="503"/>
    </row>
    <row r="2459" spans="2:2" ht="12" customHeight="1">
      <c r="B2459" s="503"/>
    </row>
    <row r="2460" spans="2:2" ht="12" customHeight="1">
      <c r="B2460" s="503"/>
    </row>
    <row r="2461" spans="2:2" ht="12" customHeight="1">
      <c r="B2461" s="503"/>
    </row>
    <row r="2462" spans="2:2" ht="12" customHeight="1">
      <c r="B2462" s="503"/>
    </row>
    <row r="2463" spans="2:2" ht="12" customHeight="1">
      <c r="B2463" s="503"/>
    </row>
    <row r="2464" spans="2:2" ht="12" customHeight="1">
      <c r="B2464" s="503"/>
    </row>
    <row r="2465" spans="2:2" ht="12" customHeight="1">
      <c r="B2465" s="503"/>
    </row>
    <row r="2466" spans="2:2" ht="12" customHeight="1">
      <c r="B2466" s="503"/>
    </row>
    <row r="2467" spans="2:2" ht="12" customHeight="1">
      <c r="B2467" s="503"/>
    </row>
    <row r="2468" spans="2:2" ht="12" customHeight="1">
      <c r="B2468" s="503"/>
    </row>
    <row r="2469" spans="2:2" ht="12" customHeight="1">
      <c r="B2469" s="503"/>
    </row>
    <row r="2470" spans="2:2" ht="12" customHeight="1">
      <c r="B2470" s="503"/>
    </row>
    <row r="2471" spans="2:2" ht="12" customHeight="1">
      <c r="B2471" s="503"/>
    </row>
    <row r="2472" spans="2:2" ht="12" customHeight="1">
      <c r="B2472" s="503"/>
    </row>
    <row r="2473" spans="2:2" ht="12" customHeight="1">
      <c r="B2473" s="503"/>
    </row>
    <row r="2474" spans="2:2" ht="12" customHeight="1">
      <c r="B2474" s="503"/>
    </row>
    <row r="2475" spans="2:2" ht="12" customHeight="1">
      <c r="B2475" s="503"/>
    </row>
    <row r="2476" spans="2:2" ht="12" customHeight="1">
      <c r="B2476" s="503"/>
    </row>
    <row r="2477" spans="2:2" ht="12" customHeight="1">
      <c r="B2477" s="503"/>
    </row>
    <row r="2478" spans="2:2" ht="12" customHeight="1">
      <c r="B2478" s="503"/>
    </row>
    <row r="2479" spans="2:2" ht="12" customHeight="1">
      <c r="B2479" s="503"/>
    </row>
    <row r="2480" spans="2:2" ht="12" customHeight="1">
      <c r="B2480" s="503"/>
    </row>
    <row r="2481" spans="2:2" ht="12" customHeight="1">
      <c r="B2481" s="503"/>
    </row>
    <row r="2482" spans="2:2" ht="12" customHeight="1">
      <c r="B2482" s="503"/>
    </row>
    <row r="2483" spans="2:2" ht="12" customHeight="1">
      <c r="B2483" s="503"/>
    </row>
    <row r="2484" spans="2:2" ht="12" customHeight="1">
      <c r="B2484" s="503"/>
    </row>
    <row r="2485" spans="2:2" ht="12" customHeight="1">
      <c r="B2485" s="503"/>
    </row>
    <row r="2486" spans="2:2" ht="12" customHeight="1">
      <c r="B2486" s="503"/>
    </row>
    <row r="2487" spans="2:2" ht="12" customHeight="1">
      <c r="B2487" s="503"/>
    </row>
    <row r="2488" spans="2:2" ht="12" customHeight="1">
      <c r="B2488" s="503"/>
    </row>
    <row r="2489" spans="2:2" ht="12" customHeight="1">
      <c r="B2489" s="503"/>
    </row>
    <row r="2490" spans="2:2" ht="12" customHeight="1">
      <c r="B2490" s="503"/>
    </row>
    <row r="2491" spans="2:2" ht="12" customHeight="1">
      <c r="B2491" s="503"/>
    </row>
    <row r="2492" spans="2:2" ht="12" customHeight="1">
      <c r="B2492" s="503"/>
    </row>
    <row r="2493" spans="2:2" ht="12" customHeight="1">
      <c r="B2493" s="503"/>
    </row>
    <row r="2494" spans="2:2" ht="12" customHeight="1">
      <c r="B2494" s="503"/>
    </row>
    <row r="2495" spans="2:2" ht="12" customHeight="1">
      <c r="B2495" s="503"/>
    </row>
    <row r="2496" spans="2:2" ht="12" customHeight="1">
      <c r="B2496" s="503"/>
    </row>
    <row r="2497" spans="2:2" ht="12" customHeight="1">
      <c r="B2497" s="503"/>
    </row>
    <row r="2498" spans="2:2" ht="12" customHeight="1">
      <c r="B2498" s="503"/>
    </row>
    <row r="2499" spans="2:2" ht="12" customHeight="1">
      <c r="B2499" s="503"/>
    </row>
    <row r="2500" spans="2:2" ht="12" customHeight="1">
      <c r="B2500" s="503"/>
    </row>
    <row r="2501" spans="2:2" ht="12" customHeight="1">
      <c r="B2501" s="503"/>
    </row>
    <row r="2502" spans="2:2" ht="12" customHeight="1">
      <c r="B2502" s="503"/>
    </row>
    <row r="2503" spans="2:2" ht="12" customHeight="1">
      <c r="B2503" s="503"/>
    </row>
    <row r="2504" spans="2:2" ht="12" customHeight="1">
      <c r="B2504" s="503"/>
    </row>
    <row r="2505" spans="2:2" ht="12" customHeight="1">
      <c r="B2505" s="503"/>
    </row>
    <row r="2506" spans="2:2" ht="12" customHeight="1">
      <c r="B2506" s="503"/>
    </row>
    <row r="2507" spans="2:2" ht="12" customHeight="1">
      <c r="B2507" s="503"/>
    </row>
    <row r="2508" spans="2:2" ht="12" customHeight="1">
      <c r="B2508" s="503"/>
    </row>
    <row r="2509" spans="2:2" ht="12" customHeight="1">
      <c r="B2509" s="503"/>
    </row>
    <row r="2510" spans="2:2" ht="12" customHeight="1">
      <c r="B2510" s="503"/>
    </row>
    <row r="2511" spans="2:2" ht="12" customHeight="1">
      <c r="B2511" s="503"/>
    </row>
    <row r="2512" spans="2:2" ht="12" customHeight="1">
      <c r="B2512" s="503"/>
    </row>
    <row r="2513" spans="2:2" ht="12" customHeight="1">
      <c r="B2513" s="503"/>
    </row>
    <row r="2514" spans="2:2" ht="12" customHeight="1">
      <c r="B2514" s="503"/>
    </row>
    <row r="2515" spans="2:2" ht="12" customHeight="1">
      <c r="B2515" s="503"/>
    </row>
    <row r="2516" spans="2:2" ht="12" customHeight="1">
      <c r="B2516" s="503"/>
    </row>
    <row r="2517" spans="2:2" ht="12" customHeight="1">
      <c r="B2517" s="503"/>
    </row>
    <row r="2518" spans="2:2" ht="12" customHeight="1">
      <c r="B2518" s="503"/>
    </row>
    <row r="2519" spans="2:2" ht="12" customHeight="1">
      <c r="B2519" s="503"/>
    </row>
    <row r="2520" spans="2:2" ht="12" customHeight="1">
      <c r="B2520" s="503"/>
    </row>
    <row r="2521" spans="2:2" ht="12" customHeight="1">
      <c r="B2521" s="503"/>
    </row>
    <row r="2522" spans="2:2" ht="12" customHeight="1">
      <c r="B2522" s="503"/>
    </row>
    <row r="2523" spans="2:2" ht="12" customHeight="1">
      <c r="B2523" s="503"/>
    </row>
    <row r="2524" spans="2:2" ht="12" customHeight="1">
      <c r="B2524" s="503"/>
    </row>
    <row r="2525" spans="2:2" ht="12" customHeight="1">
      <c r="B2525" s="503"/>
    </row>
    <row r="2526" spans="2:2" ht="12" customHeight="1">
      <c r="B2526" s="503"/>
    </row>
    <row r="2527" spans="2:2" ht="12" customHeight="1">
      <c r="B2527" s="503"/>
    </row>
    <row r="2528" spans="2:2" ht="12" customHeight="1">
      <c r="B2528" s="503"/>
    </row>
    <row r="2529" spans="2:2" ht="12" customHeight="1">
      <c r="B2529" s="503"/>
    </row>
    <row r="2530" spans="2:2" ht="12" customHeight="1">
      <c r="B2530" s="503"/>
    </row>
    <row r="2531" spans="2:2" ht="12" customHeight="1">
      <c r="B2531" s="503"/>
    </row>
    <row r="2532" spans="2:2" ht="12" customHeight="1">
      <c r="B2532" s="503"/>
    </row>
    <row r="2533" spans="2:2" ht="12" customHeight="1">
      <c r="B2533" s="503"/>
    </row>
    <row r="2534" spans="2:2" ht="12" customHeight="1">
      <c r="B2534" s="503"/>
    </row>
    <row r="2535" spans="2:2" ht="12" customHeight="1">
      <c r="B2535" s="503"/>
    </row>
    <row r="2536" spans="2:2" ht="12" customHeight="1">
      <c r="B2536" s="503"/>
    </row>
    <row r="2537" spans="2:2" ht="12" customHeight="1">
      <c r="B2537" s="503"/>
    </row>
    <row r="2538" spans="2:2" ht="12" customHeight="1">
      <c r="B2538" s="503"/>
    </row>
    <row r="2539" spans="2:2" ht="12" customHeight="1">
      <c r="B2539" s="503"/>
    </row>
    <row r="2540" spans="2:2" ht="12" customHeight="1">
      <c r="B2540" s="503"/>
    </row>
    <row r="2541" spans="2:2" ht="12" customHeight="1">
      <c r="B2541" s="503"/>
    </row>
    <row r="2542" spans="2:2" ht="12" customHeight="1">
      <c r="B2542" s="503"/>
    </row>
    <row r="2543" spans="2:2" ht="12" customHeight="1">
      <c r="B2543" s="503"/>
    </row>
    <row r="2544" spans="2:2" ht="12" customHeight="1">
      <c r="B2544" s="503"/>
    </row>
    <row r="2545" spans="2:2" ht="12" customHeight="1">
      <c r="B2545" s="503"/>
    </row>
    <row r="2546" spans="2:2" ht="12" customHeight="1">
      <c r="B2546" s="503"/>
    </row>
    <row r="2547" spans="2:2" ht="12" customHeight="1">
      <c r="B2547" s="503"/>
    </row>
    <row r="2548" spans="2:2" ht="12" customHeight="1">
      <c r="B2548" s="503"/>
    </row>
    <row r="2549" spans="2:2" ht="12" customHeight="1">
      <c r="B2549" s="503"/>
    </row>
    <row r="2550" spans="2:2" ht="12" customHeight="1">
      <c r="B2550" s="503"/>
    </row>
    <row r="2551" spans="2:2" ht="12" customHeight="1">
      <c r="B2551" s="503"/>
    </row>
    <row r="2552" spans="2:2" ht="12" customHeight="1">
      <c r="B2552" s="503"/>
    </row>
    <row r="2553" spans="2:2" ht="12" customHeight="1">
      <c r="B2553" s="503"/>
    </row>
    <row r="2554" spans="2:2" ht="12" customHeight="1">
      <c r="B2554" s="503"/>
    </row>
    <row r="2555" spans="2:2" ht="12" customHeight="1">
      <c r="B2555" s="503"/>
    </row>
    <row r="2556" spans="2:2" ht="12" customHeight="1">
      <c r="B2556" s="503"/>
    </row>
    <row r="2557" spans="2:2" ht="12" customHeight="1">
      <c r="B2557" s="503"/>
    </row>
    <row r="2558" spans="2:2" ht="12" customHeight="1">
      <c r="B2558" s="503"/>
    </row>
    <row r="2559" spans="2:2" ht="12" customHeight="1">
      <c r="B2559" s="503"/>
    </row>
    <row r="2560" spans="2:2" ht="12" customHeight="1">
      <c r="B2560" s="503"/>
    </row>
    <row r="2561" spans="2:2" ht="12" customHeight="1">
      <c r="B2561" s="503"/>
    </row>
    <row r="2562" spans="2:2" ht="12" customHeight="1">
      <c r="B2562" s="503"/>
    </row>
    <row r="2563" spans="2:2" ht="12" customHeight="1">
      <c r="B2563" s="503"/>
    </row>
    <row r="2564" spans="2:2" ht="12" customHeight="1">
      <c r="B2564" s="503"/>
    </row>
    <row r="2565" spans="2:2" ht="12" customHeight="1">
      <c r="B2565" s="503"/>
    </row>
    <row r="2566" spans="2:2" ht="12" customHeight="1">
      <c r="B2566" s="503"/>
    </row>
    <row r="2567" spans="2:2" ht="12" customHeight="1">
      <c r="B2567" s="503"/>
    </row>
    <row r="2568" spans="2:2" ht="12" customHeight="1">
      <c r="B2568" s="503"/>
    </row>
    <row r="2569" spans="2:2" ht="12" customHeight="1">
      <c r="B2569" s="503"/>
    </row>
    <row r="2570" spans="2:2" ht="12" customHeight="1">
      <c r="B2570" s="503"/>
    </row>
    <row r="2571" spans="2:2" ht="12" customHeight="1">
      <c r="B2571" s="503"/>
    </row>
    <row r="2572" spans="2:2" ht="12" customHeight="1">
      <c r="B2572" s="503"/>
    </row>
    <row r="2573" spans="2:2" ht="12" customHeight="1">
      <c r="B2573" s="503"/>
    </row>
    <row r="2574" spans="2:2" ht="12" customHeight="1">
      <c r="B2574" s="503"/>
    </row>
    <row r="2575" spans="2:2" ht="12" customHeight="1">
      <c r="B2575" s="503"/>
    </row>
    <row r="2576" spans="2:2" ht="12" customHeight="1">
      <c r="B2576" s="503"/>
    </row>
    <row r="2577" spans="2:2" ht="12" customHeight="1">
      <c r="B2577" s="503"/>
    </row>
    <row r="2578" spans="2:2" ht="12" customHeight="1">
      <c r="B2578" s="503"/>
    </row>
    <row r="2579" spans="2:2" ht="12" customHeight="1">
      <c r="B2579" s="503"/>
    </row>
    <row r="2580" spans="2:2" ht="12" customHeight="1">
      <c r="B2580" s="503"/>
    </row>
    <row r="2581" spans="2:2" ht="12" customHeight="1">
      <c r="B2581" s="503"/>
    </row>
    <row r="2582" spans="2:2" ht="12" customHeight="1">
      <c r="B2582" s="503"/>
    </row>
    <row r="2583" spans="2:2" ht="12" customHeight="1">
      <c r="B2583" s="503"/>
    </row>
    <row r="2584" spans="2:2" ht="12" customHeight="1">
      <c r="B2584" s="503"/>
    </row>
    <row r="2585" spans="2:2" ht="12" customHeight="1">
      <c r="B2585" s="503"/>
    </row>
    <row r="2586" spans="2:2" ht="12" customHeight="1">
      <c r="B2586" s="503"/>
    </row>
    <row r="2587" spans="2:2" ht="12" customHeight="1">
      <c r="B2587" s="503"/>
    </row>
    <row r="2588" spans="2:2" ht="12" customHeight="1">
      <c r="B2588" s="503"/>
    </row>
    <row r="2589" spans="2:2" ht="12" customHeight="1">
      <c r="B2589" s="503"/>
    </row>
    <row r="2590" spans="2:2" ht="12" customHeight="1">
      <c r="B2590" s="503"/>
    </row>
    <row r="2591" spans="2:2" ht="12" customHeight="1">
      <c r="B2591" s="503"/>
    </row>
    <row r="2592" spans="2:2" ht="12" customHeight="1">
      <c r="B2592" s="503"/>
    </row>
    <row r="2593" spans="2:2" ht="12" customHeight="1">
      <c r="B2593" s="503"/>
    </row>
    <row r="2594" spans="2:2" ht="12" customHeight="1">
      <c r="B2594" s="503"/>
    </row>
    <row r="2595" spans="2:2" ht="12" customHeight="1">
      <c r="B2595" s="503"/>
    </row>
    <row r="2596" spans="2:2" ht="12" customHeight="1">
      <c r="B2596" s="503"/>
    </row>
    <row r="2597" spans="2:2" ht="12" customHeight="1">
      <c r="B2597" s="503"/>
    </row>
    <row r="2598" spans="2:2" ht="12" customHeight="1">
      <c r="B2598" s="503"/>
    </row>
    <row r="2599" spans="2:2" ht="12" customHeight="1">
      <c r="B2599" s="503"/>
    </row>
    <row r="2600" spans="2:2" ht="12" customHeight="1">
      <c r="B2600" s="503"/>
    </row>
    <row r="2601" spans="2:2" ht="12" customHeight="1">
      <c r="B2601" s="503"/>
    </row>
    <row r="2602" spans="2:2" ht="12" customHeight="1">
      <c r="B2602" s="503"/>
    </row>
    <row r="2603" spans="2:2" ht="12" customHeight="1">
      <c r="B2603" s="503"/>
    </row>
    <row r="2604" spans="2:2" ht="12" customHeight="1">
      <c r="B2604" s="503"/>
    </row>
    <row r="2605" spans="2:2" ht="12" customHeight="1">
      <c r="B2605" s="503"/>
    </row>
    <row r="2606" spans="2:2" ht="12" customHeight="1">
      <c r="B2606" s="503"/>
    </row>
    <row r="2607" spans="2:2" ht="12" customHeight="1">
      <c r="B2607" s="503"/>
    </row>
    <row r="2608" spans="2:2" ht="12" customHeight="1">
      <c r="B2608" s="503"/>
    </row>
    <row r="2609" spans="2:2" ht="12" customHeight="1">
      <c r="B2609" s="503"/>
    </row>
    <row r="2610" spans="2:2" ht="12" customHeight="1">
      <c r="B2610" s="503"/>
    </row>
    <row r="2611" spans="2:2" ht="12" customHeight="1">
      <c r="B2611" s="503"/>
    </row>
    <row r="2612" spans="2:2" ht="12" customHeight="1">
      <c r="B2612" s="503"/>
    </row>
    <row r="2613" spans="2:2" ht="12" customHeight="1">
      <c r="B2613" s="503"/>
    </row>
    <row r="2614" spans="2:2" ht="12" customHeight="1">
      <c r="B2614" s="503"/>
    </row>
    <row r="2615" spans="2:2" ht="12" customHeight="1">
      <c r="B2615" s="503"/>
    </row>
    <row r="2616" spans="2:2" ht="12" customHeight="1">
      <c r="B2616" s="503"/>
    </row>
    <row r="2617" spans="2:2" ht="12" customHeight="1">
      <c r="B2617" s="503"/>
    </row>
    <row r="2618" spans="2:2" ht="12" customHeight="1">
      <c r="B2618" s="503"/>
    </row>
    <row r="2619" spans="2:2" ht="12" customHeight="1">
      <c r="B2619" s="503"/>
    </row>
    <row r="2620" spans="2:2" ht="12" customHeight="1">
      <c r="B2620" s="503"/>
    </row>
    <row r="2621" spans="2:2" ht="12" customHeight="1">
      <c r="B2621" s="503"/>
    </row>
    <row r="2622" spans="2:2" ht="12" customHeight="1">
      <c r="B2622" s="503"/>
    </row>
    <row r="2623" spans="2:2" ht="12" customHeight="1">
      <c r="B2623" s="503"/>
    </row>
    <row r="2624" spans="2:2" ht="12" customHeight="1">
      <c r="B2624" s="503"/>
    </row>
    <row r="2625" spans="2:2" ht="12" customHeight="1">
      <c r="B2625" s="503"/>
    </row>
    <row r="2626" spans="2:2" ht="12" customHeight="1">
      <c r="B2626" s="503"/>
    </row>
    <row r="2627" spans="2:2" ht="12" customHeight="1">
      <c r="B2627" s="503"/>
    </row>
    <row r="2628" spans="2:2" ht="12" customHeight="1">
      <c r="B2628" s="503"/>
    </row>
    <row r="2629" spans="2:2" ht="12" customHeight="1">
      <c r="B2629" s="503"/>
    </row>
    <row r="2630" spans="2:2" ht="12" customHeight="1">
      <c r="B2630" s="503"/>
    </row>
    <row r="2631" spans="2:2" ht="12" customHeight="1">
      <c r="B2631" s="503"/>
    </row>
    <row r="2632" spans="2:2" ht="12" customHeight="1">
      <c r="B2632" s="503"/>
    </row>
    <row r="2633" spans="2:2" ht="12" customHeight="1">
      <c r="B2633" s="503"/>
    </row>
    <row r="2634" spans="2:2" ht="12" customHeight="1">
      <c r="B2634" s="503"/>
    </row>
    <row r="2635" spans="2:2" ht="12" customHeight="1">
      <c r="B2635" s="503"/>
    </row>
    <row r="2636" spans="2:2" ht="12" customHeight="1">
      <c r="B2636" s="503"/>
    </row>
    <row r="2637" spans="2:2" ht="12" customHeight="1">
      <c r="B2637" s="503"/>
    </row>
    <row r="2638" spans="2:2" ht="12" customHeight="1">
      <c r="B2638" s="503"/>
    </row>
    <row r="2639" spans="2:2" ht="12" customHeight="1">
      <c r="B2639" s="503"/>
    </row>
    <row r="2640" spans="2:2" ht="12" customHeight="1">
      <c r="B2640" s="503"/>
    </row>
    <row r="2641" spans="2:2" ht="12" customHeight="1">
      <c r="B2641" s="503"/>
    </row>
    <row r="2642" spans="2:2" ht="12" customHeight="1">
      <c r="B2642" s="503"/>
    </row>
    <row r="2643" spans="2:2" ht="12" customHeight="1">
      <c r="B2643" s="503"/>
    </row>
    <row r="2644" spans="2:2" ht="12" customHeight="1">
      <c r="B2644" s="503"/>
    </row>
    <row r="2645" spans="2:2" ht="12" customHeight="1">
      <c r="B2645" s="503"/>
    </row>
    <row r="2646" spans="2:2" ht="12" customHeight="1">
      <c r="B2646" s="503"/>
    </row>
    <row r="2647" spans="2:2" ht="12" customHeight="1">
      <c r="B2647" s="503"/>
    </row>
    <row r="2648" spans="2:2" ht="12" customHeight="1">
      <c r="B2648" s="503"/>
    </row>
    <row r="2649" spans="2:2" ht="12" customHeight="1">
      <c r="B2649" s="503"/>
    </row>
    <row r="2650" spans="2:2" ht="12" customHeight="1">
      <c r="B2650" s="503"/>
    </row>
    <row r="2651" spans="2:2" ht="12" customHeight="1">
      <c r="B2651" s="503"/>
    </row>
    <row r="2652" spans="2:2" ht="12" customHeight="1">
      <c r="B2652" s="503"/>
    </row>
    <row r="2653" spans="2:2" ht="12" customHeight="1">
      <c r="B2653" s="503"/>
    </row>
    <row r="2654" spans="2:2" ht="12" customHeight="1">
      <c r="B2654" s="503"/>
    </row>
    <row r="2655" spans="2:2" ht="12" customHeight="1">
      <c r="B2655" s="503"/>
    </row>
    <row r="2656" spans="2:2" ht="12" customHeight="1">
      <c r="B2656" s="503"/>
    </row>
    <row r="2657" spans="2:2" ht="12" customHeight="1">
      <c r="B2657" s="503"/>
    </row>
    <row r="2658" spans="2:2" ht="12" customHeight="1">
      <c r="B2658" s="503"/>
    </row>
    <row r="2659" spans="2:2" ht="12" customHeight="1">
      <c r="B2659" s="503"/>
    </row>
    <row r="2660" spans="2:2" ht="12" customHeight="1">
      <c r="B2660" s="503"/>
    </row>
    <row r="2661" spans="2:2" ht="12" customHeight="1">
      <c r="B2661" s="503"/>
    </row>
    <row r="2662" spans="2:2" ht="12" customHeight="1">
      <c r="B2662" s="503"/>
    </row>
    <row r="2663" spans="2:2" ht="12" customHeight="1">
      <c r="B2663" s="503"/>
    </row>
    <row r="2664" spans="2:2" ht="12" customHeight="1">
      <c r="B2664" s="503"/>
    </row>
    <row r="2665" spans="2:2" ht="12" customHeight="1">
      <c r="B2665" s="503"/>
    </row>
    <row r="2666" spans="2:2" ht="12" customHeight="1">
      <c r="B2666" s="503"/>
    </row>
    <row r="2667" spans="2:2" ht="12" customHeight="1">
      <c r="B2667" s="503"/>
    </row>
    <row r="2668" spans="2:2" ht="12" customHeight="1">
      <c r="B2668" s="503"/>
    </row>
    <row r="2669" spans="2:2" ht="12" customHeight="1">
      <c r="B2669" s="503"/>
    </row>
    <row r="2670" spans="2:2" ht="12" customHeight="1">
      <c r="B2670" s="503"/>
    </row>
    <row r="2671" spans="2:2" ht="12" customHeight="1">
      <c r="B2671" s="503"/>
    </row>
    <row r="2672" spans="2:2" ht="12" customHeight="1">
      <c r="B2672" s="503"/>
    </row>
    <row r="2673" spans="2:2" ht="12" customHeight="1">
      <c r="B2673" s="503"/>
    </row>
    <row r="2674" spans="2:2" ht="12" customHeight="1">
      <c r="B2674" s="503"/>
    </row>
    <row r="2675" spans="2:2" ht="12" customHeight="1">
      <c r="B2675" s="503"/>
    </row>
    <row r="2676" spans="2:2" ht="12" customHeight="1">
      <c r="B2676" s="503"/>
    </row>
    <row r="2677" spans="2:2" ht="12" customHeight="1">
      <c r="B2677" s="503"/>
    </row>
    <row r="2678" spans="2:2" ht="12" customHeight="1">
      <c r="B2678" s="503"/>
    </row>
    <row r="2679" spans="2:2" ht="12" customHeight="1">
      <c r="B2679" s="503"/>
    </row>
    <row r="2680" spans="2:2" ht="12" customHeight="1">
      <c r="B2680" s="503"/>
    </row>
    <row r="2681" spans="2:2" ht="12" customHeight="1">
      <c r="B2681" s="503"/>
    </row>
    <row r="2682" spans="2:2" ht="12" customHeight="1">
      <c r="B2682" s="503"/>
    </row>
    <row r="2683" spans="2:2" ht="12" customHeight="1">
      <c r="B2683" s="503"/>
    </row>
    <row r="2684" spans="2:2" ht="12" customHeight="1">
      <c r="B2684" s="503"/>
    </row>
    <row r="2685" spans="2:2" ht="12" customHeight="1">
      <c r="B2685" s="503"/>
    </row>
    <row r="2686" spans="2:2" ht="12" customHeight="1">
      <c r="B2686" s="503"/>
    </row>
    <row r="2687" spans="2:2" ht="12" customHeight="1">
      <c r="B2687" s="503"/>
    </row>
    <row r="2688" spans="2:2" ht="12" customHeight="1">
      <c r="B2688" s="503"/>
    </row>
    <row r="2689" spans="2:2" ht="12" customHeight="1">
      <c r="B2689" s="503"/>
    </row>
    <row r="2690" spans="2:2" ht="12" customHeight="1">
      <c r="B2690" s="503"/>
    </row>
    <row r="2691" spans="2:2" ht="12" customHeight="1">
      <c r="B2691" s="503"/>
    </row>
    <row r="2692" spans="2:2" ht="12" customHeight="1">
      <c r="B2692" s="503"/>
    </row>
    <row r="2693" spans="2:2" ht="12" customHeight="1">
      <c r="B2693" s="503"/>
    </row>
    <row r="2694" spans="2:2" ht="12" customHeight="1">
      <c r="B2694" s="503"/>
    </row>
    <row r="2695" spans="2:2" ht="12" customHeight="1">
      <c r="B2695" s="503"/>
    </row>
    <row r="2696" spans="2:2" ht="12" customHeight="1">
      <c r="B2696" s="503"/>
    </row>
    <row r="2697" spans="2:2" ht="12" customHeight="1">
      <c r="B2697" s="503"/>
    </row>
    <row r="2698" spans="2:2" ht="12" customHeight="1">
      <c r="B2698" s="503"/>
    </row>
    <row r="2699" spans="2:2" ht="12" customHeight="1">
      <c r="B2699" s="503"/>
    </row>
    <row r="2700" spans="2:2" ht="12" customHeight="1">
      <c r="B2700" s="503"/>
    </row>
    <row r="2701" spans="2:2" ht="12" customHeight="1">
      <c r="B2701" s="503"/>
    </row>
    <row r="2702" spans="2:2" ht="12" customHeight="1">
      <c r="B2702" s="503"/>
    </row>
    <row r="2703" spans="2:2" ht="12" customHeight="1">
      <c r="B2703" s="503"/>
    </row>
    <row r="2704" spans="2:2" ht="12" customHeight="1">
      <c r="B2704" s="503"/>
    </row>
    <row r="2705" spans="2:2" ht="12" customHeight="1">
      <c r="B2705" s="503"/>
    </row>
    <row r="2706" spans="2:2" ht="12" customHeight="1">
      <c r="B2706" s="503"/>
    </row>
    <row r="2707" spans="2:2" ht="12" customHeight="1">
      <c r="B2707" s="503"/>
    </row>
    <row r="2708" spans="2:2" ht="12" customHeight="1">
      <c r="B2708" s="503"/>
    </row>
    <row r="2709" spans="2:2" ht="12" customHeight="1">
      <c r="B2709" s="503"/>
    </row>
    <row r="2710" spans="2:2" ht="12" customHeight="1">
      <c r="B2710" s="503"/>
    </row>
    <row r="2711" spans="2:2" ht="12" customHeight="1">
      <c r="B2711" s="503"/>
    </row>
    <row r="2712" spans="2:2" ht="12" customHeight="1">
      <c r="B2712" s="503"/>
    </row>
    <row r="2713" spans="2:2" ht="12" customHeight="1">
      <c r="B2713" s="503"/>
    </row>
    <row r="2714" spans="2:2" ht="12" customHeight="1">
      <c r="B2714" s="503"/>
    </row>
    <row r="2715" spans="2:2" ht="12" customHeight="1">
      <c r="B2715" s="503"/>
    </row>
    <row r="2716" spans="2:2" ht="12" customHeight="1">
      <c r="B2716" s="503"/>
    </row>
    <row r="2717" spans="2:2" ht="12" customHeight="1">
      <c r="B2717" s="503"/>
    </row>
    <row r="2718" spans="2:2" ht="12" customHeight="1">
      <c r="B2718" s="503"/>
    </row>
    <row r="2719" spans="2:2" ht="12" customHeight="1">
      <c r="B2719" s="503"/>
    </row>
    <row r="2720" spans="2:2" ht="12" customHeight="1">
      <c r="B2720" s="503"/>
    </row>
    <row r="2721" spans="2:2" ht="12" customHeight="1">
      <c r="B2721" s="503"/>
    </row>
    <row r="2722" spans="2:2" ht="12" customHeight="1">
      <c r="B2722" s="503"/>
    </row>
    <row r="2723" spans="2:2" ht="12" customHeight="1">
      <c r="B2723" s="503"/>
    </row>
    <row r="2724" spans="2:2" ht="12" customHeight="1">
      <c r="B2724" s="503"/>
    </row>
    <row r="2725" spans="2:2" ht="12" customHeight="1">
      <c r="B2725" s="503"/>
    </row>
    <row r="2726" spans="2:2" ht="12" customHeight="1">
      <c r="B2726" s="503"/>
    </row>
    <row r="2727" spans="2:2" ht="12" customHeight="1">
      <c r="B2727" s="503"/>
    </row>
    <row r="2728" spans="2:2" ht="12" customHeight="1">
      <c r="B2728" s="503"/>
    </row>
    <row r="2729" spans="2:2" ht="12" customHeight="1">
      <c r="B2729" s="503"/>
    </row>
    <row r="2730" spans="2:2" ht="12" customHeight="1">
      <c r="B2730" s="503"/>
    </row>
    <row r="2731" spans="2:2" ht="12" customHeight="1">
      <c r="B2731" s="503"/>
    </row>
    <row r="2732" spans="2:2" ht="12" customHeight="1">
      <c r="B2732" s="503"/>
    </row>
    <row r="2733" spans="2:2" ht="12" customHeight="1">
      <c r="B2733" s="503"/>
    </row>
    <row r="2734" spans="2:2" ht="12" customHeight="1">
      <c r="B2734" s="503"/>
    </row>
    <row r="2735" spans="2:2" ht="12" customHeight="1">
      <c r="B2735" s="503"/>
    </row>
    <row r="2736" spans="2:2" ht="12" customHeight="1">
      <c r="B2736" s="503"/>
    </row>
    <row r="2737" spans="2:2" ht="12" customHeight="1">
      <c r="B2737" s="503"/>
    </row>
    <row r="2738" spans="2:2" ht="12" customHeight="1">
      <c r="B2738" s="503"/>
    </row>
    <row r="2739" spans="2:2" ht="12" customHeight="1">
      <c r="B2739" s="503"/>
    </row>
    <row r="2740" spans="2:2" ht="12" customHeight="1">
      <c r="B2740" s="503"/>
    </row>
    <row r="2741" spans="2:2" ht="12" customHeight="1">
      <c r="B2741" s="503"/>
    </row>
    <row r="2742" spans="2:2" ht="12" customHeight="1">
      <c r="B2742" s="503"/>
    </row>
    <row r="2743" spans="2:2" ht="12" customHeight="1">
      <c r="B2743" s="503"/>
    </row>
    <row r="2744" spans="2:2" ht="12" customHeight="1">
      <c r="B2744" s="503"/>
    </row>
    <row r="2745" spans="2:2" ht="12" customHeight="1">
      <c r="B2745" s="503"/>
    </row>
    <row r="2746" spans="2:2" ht="12" customHeight="1">
      <c r="B2746" s="503"/>
    </row>
    <row r="2747" spans="2:2" ht="12" customHeight="1">
      <c r="B2747" s="503"/>
    </row>
    <row r="2748" spans="2:2" ht="12" customHeight="1">
      <c r="B2748" s="503"/>
    </row>
    <row r="2749" spans="2:2" ht="12" customHeight="1">
      <c r="B2749" s="503"/>
    </row>
    <row r="2750" spans="2:2" ht="12" customHeight="1">
      <c r="B2750" s="503"/>
    </row>
    <row r="2751" spans="2:2" ht="12" customHeight="1">
      <c r="B2751" s="503"/>
    </row>
    <row r="2752" spans="2:2" ht="12" customHeight="1">
      <c r="B2752" s="503"/>
    </row>
    <row r="2753" spans="2:2" ht="12" customHeight="1">
      <c r="B2753" s="503"/>
    </row>
    <row r="2754" spans="2:2" ht="12" customHeight="1">
      <c r="B2754" s="503"/>
    </row>
    <row r="2755" spans="2:2" ht="12" customHeight="1">
      <c r="B2755" s="503"/>
    </row>
    <row r="2756" spans="2:2" ht="12" customHeight="1">
      <c r="B2756" s="503"/>
    </row>
    <row r="2757" spans="2:2" ht="12" customHeight="1">
      <c r="B2757" s="503"/>
    </row>
    <row r="2758" spans="2:2" ht="12" customHeight="1">
      <c r="B2758" s="503"/>
    </row>
    <row r="2759" spans="2:2" ht="12" customHeight="1">
      <c r="B2759" s="503"/>
    </row>
    <row r="2760" spans="2:2" ht="12" customHeight="1">
      <c r="B2760" s="503"/>
    </row>
    <row r="2761" spans="2:2" ht="12" customHeight="1">
      <c r="B2761" s="503"/>
    </row>
    <row r="2762" spans="2:2" ht="12" customHeight="1">
      <c r="B2762" s="503"/>
    </row>
    <row r="2763" spans="2:2" ht="12" customHeight="1">
      <c r="B2763" s="503"/>
    </row>
    <row r="2764" spans="2:2" ht="12" customHeight="1">
      <c r="B2764" s="503"/>
    </row>
    <row r="2765" spans="2:2" ht="12" customHeight="1">
      <c r="B2765" s="503"/>
    </row>
    <row r="2766" spans="2:2" ht="12" customHeight="1">
      <c r="B2766" s="503"/>
    </row>
    <row r="2767" spans="2:2" ht="12" customHeight="1">
      <c r="B2767" s="503"/>
    </row>
    <row r="2768" spans="2:2" ht="12" customHeight="1">
      <c r="B2768" s="503"/>
    </row>
    <row r="2769" spans="2:2" ht="12" customHeight="1">
      <c r="B2769" s="503"/>
    </row>
    <row r="2770" spans="2:2" ht="12" customHeight="1">
      <c r="B2770" s="503"/>
    </row>
    <row r="2771" spans="2:2" ht="12" customHeight="1">
      <c r="B2771" s="503"/>
    </row>
    <row r="2772" spans="2:2" ht="12" customHeight="1">
      <c r="B2772" s="503"/>
    </row>
    <row r="2773" spans="2:2" ht="12" customHeight="1">
      <c r="B2773" s="503"/>
    </row>
    <row r="2774" spans="2:2" ht="12" customHeight="1">
      <c r="B2774" s="503"/>
    </row>
    <row r="2775" spans="2:2" ht="12" customHeight="1">
      <c r="B2775" s="503"/>
    </row>
    <row r="2776" spans="2:2" ht="12" customHeight="1">
      <c r="B2776" s="503"/>
    </row>
    <row r="2777" spans="2:2" ht="12" customHeight="1">
      <c r="B2777" s="503"/>
    </row>
    <row r="2778" spans="2:2" ht="12" customHeight="1">
      <c r="B2778" s="503"/>
    </row>
    <row r="2779" spans="2:2" ht="12" customHeight="1">
      <c r="B2779" s="503"/>
    </row>
    <row r="2780" spans="2:2" ht="12" customHeight="1">
      <c r="B2780" s="503"/>
    </row>
    <row r="2781" spans="2:2" ht="12" customHeight="1">
      <c r="B2781" s="503"/>
    </row>
    <row r="2782" spans="2:2" ht="12" customHeight="1">
      <c r="B2782" s="503"/>
    </row>
    <row r="2783" spans="2:2" ht="12" customHeight="1">
      <c r="B2783" s="503"/>
    </row>
    <row r="2784" spans="2:2" ht="12" customHeight="1">
      <c r="B2784" s="503"/>
    </row>
    <row r="2785" spans="2:2" ht="12" customHeight="1">
      <c r="B2785" s="503"/>
    </row>
    <row r="2786" spans="2:2" ht="12" customHeight="1">
      <c r="B2786" s="503"/>
    </row>
    <row r="2787" spans="2:2" ht="12" customHeight="1">
      <c r="B2787" s="503"/>
    </row>
    <row r="2788" spans="2:2" ht="12" customHeight="1">
      <c r="B2788" s="503"/>
    </row>
    <row r="2789" spans="2:2" ht="12" customHeight="1">
      <c r="B2789" s="503"/>
    </row>
    <row r="2790" spans="2:2" ht="12" customHeight="1">
      <c r="B2790" s="503"/>
    </row>
    <row r="2791" spans="2:2" ht="12" customHeight="1">
      <c r="B2791" s="503"/>
    </row>
    <row r="2792" spans="2:2" ht="12" customHeight="1">
      <c r="B2792" s="503"/>
    </row>
    <row r="2793" spans="2:2" ht="12" customHeight="1">
      <c r="B2793" s="503"/>
    </row>
    <row r="2794" spans="2:2" ht="12" customHeight="1">
      <c r="B2794" s="503"/>
    </row>
    <row r="2795" spans="2:2" ht="12" customHeight="1">
      <c r="B2795" s="503"/>
    </row>
    <row r="2796" spans="2:2" ht="12" customHeight="1">
      <c r="B2796" s="503"/>
    </row>
    <row r="2797" spans="2:2" ht="12" customHeight="1">
      <c r="B2797" s="503"/>
    </row>
    <row r="2798" spans="2:2" ht="12" customHeight="1">
      <c r="B2798" s="503"/>
    </row>
    <row r="2799" spans="2:2" ht="12" customHeight="1">
      <c r="B2799" s="503"/>
    </row>
    <row r="2800" spans="2:2" ht="12" customHeight="1">
      <c r="B2800" s="503"/>
    </row>
    <row r="2801" spans="2:2" ht="12" customHeight="1">
      <c r="B2801" s="503"/>
    </row>
    <row r="2802" spans="2:2" ht="12" customHeight="1">
      <c r="B2802" s="503"/>
    </row>
    <row r="2803" spans="2:2" ht="12" customHeight="1">
      <c r="B2803" s="503"/>
    </row>
    <row r="2804" spans="2:2" ht="12" customHeight="1">
      <c r="B2804" s="503"/>
    </row>
    <row r="2805" spans="2:2" ht="12" customHeight="1">
      <c r="B2805" s="503"/>
    </row>
    <row r="2806" spans="2:2" ht="12" customHeight="1">
      <c r="B2806" s="503"/>
    </row>
    <row r="2807" spans="2:2" ht="12" customHeight="1">
      <c r="B2807" s="503"/>
    </row>
    <row r="2808" spans="2:2" ht="12" customHeight="1">
      <c r="B2808" s="503"/>
    </row>
    <row r="2809" spans="2:2" ht="12" customHeight="1">
      <c r="B2809" s="503"/>
    </row>
    <row r="2810" spans="2:2" ht="12" customHeight="1">
      <c r="B2810" s="503"/>
    </row>
    <row r="2811" spans="2:2" ht="12" customHeight="1">
      <c r="B2811" s="503"/>
    </row>
    <row r="2812" spans="2:2" ht="12" customHeight="1">
      <c r="B2812" s="503"/>
    </row>
    <row r="2813" spans="2:2" ht="12" customHeight="1">
      <c r="B2813" s="503"/>
    </row>
    <row r="2814" spans="2:2" ht="12" customHeight="1">
      <c r="B2814" s="503"/>
    </row>
    <row r="2815" spans="2:2" ht="12" customHeight="1">
      <c r="B2815" s="503"/>
    </row>
    <row r="2816" spans="2:2" ht="12" customHeight="1">
      <c r="B2816" s="503"/>
    </row>
    <row r="2817" spans="2:2" ht="12" customHeight="1">
      <c r="B2817" s="503"/>
    </row>
    <row r="2818" spans="2:2" ht="12" customHeight="1">
      <c r="B2818" s="503"/>
    </row>
    <row r="2819" spans="2:2" ht="12" customHeight="1">
      <c r="B2819" s="503"/>
    </row>
    <row r="2820" spans="2:2" ht="12" customHeight="1">
      <c r="B2820" s="503"/>
    </row>
    <row r="2821" spans="2:2" ht="12" customHeight="1">
      <c r="B2821" s="503"/>
    </row>
    <row r="2822" spans="2:2" ht="12" customHeight="1">
      <c r="B2822" s="503"/>
    </row>
    <row r="2823" spans="2:2" ht="12" customHeight="1">
      <c r="B2823" s="503"/>
    </row>
    <row r="2824" spans="2:2" ht="12" customHeight="1">
      <c r="B2824" s="503"/>
    </row>
    <row r="2825" spans="2:2" ht="12" customHeight="1">
      <c r="B2825" s="503"/>
    </row>
    <row r="2826" spans="2:2" ht="12" customHeight="1">
      <c r="B2826" s="503"/>
    </row>
    <row r="2827" spans="2:2" ht="12" customHeight="1">
      <c r="B2827" s="503"/>
    </row>
    <row r="2828" spans="2:2" ht="12" customHeight="1">
      <c r="B2828" s="503"/>
    </row>
    <row r="2829" spans="2:2" ht="12" customHeight="1">
      <c r="B2829" s="503"/>
    </row>
    <row r="2830" spans="2:2" ht="12" customHeight="1">
      <c r="B2830" s="503"/>
    </row>
    <row r="2831" spans="2:2" ht="12" customHeight="1">
      <c r="B2831" s="503"/>
    </row>
    <row r="2832" spans="2:2" ht="12" customHeight="1">
      <c r="B2832" s="503"/>
    </row>
    <row r="2833" spans="2:2" ht="12" customHeight="1">
      <c r="B2833" s="503"/>
    </row>
    <row r="2834" spans="2:2" ht="12" customHeight="1">
      <c r="B2834" s="503"/>
    </row>
    <row r="2835" spans="2:2" ht="12" customHeight="1">
      <c r="B2835" s="503"/>
    </row>
    <row r="2836" spans="2:2" ht="12" customHeight="1">
      <c r="B2836" s="503"/>
    </row>
    <row r="2837" spans="2:2" ht="12" customHeight="1">
      <c r="B2837" s="503"/>
    </row>
    <row r="2838" spans="2:2" ht="12" customHeight="1">
      <c r="B2838" s="503"/>
    </row>
    <row r="2839" spans="2:2" ht="12" customHeight="1">
      <c r="B2839" s="503"/>
    </row>
    <row r="2840" spans="2:2" ht="12" customHeight="1">
      <c r="B2840" s="503"/>
    </row>
    <row r="2841" spans="2:2" ht="12" customHeight="1">
      <c r="B2841" s="503"/>
    </row>
    <row r="2842" spans="2:2" ht="12" customHeight="1">
      <c r="B2842" s="503"/>
    </row>
    <row r="2843" spans="2:2" ht="12" customHeight="1">
      <c r="B2843" s="503"/>
    </row>
    <row r="2844" spans="2:2" ht="12" customHeight="1">
      <c r="B2844" s="503"/>
    </row>
    <row r="2845" spans="2:2" ht="12" customHeight="1">
      <c r="B2845" s="503"/>
    </row>
    <row r="2846" spans="2:2" ht="12" customHeight="1">
      <c r="B2846" s="503"/>
    </row>
    <row r="2847" spans="2:2" ht="12" customHeight="1">
      <c r="B2847" s="503"/>
    </row>
    <row r="2848" spans="2:2" ht="12" customHeight="1">
      <c r="B2848" s="503"/>
    </row>
    <row r="2849" spans="2:2" ht="12" customHeight="1">
      <c r="B2849" s="503"/>
    </row>
    <row r="2850" spans="2:2" ht="12" customHeight="1">
      <c r="B2850" s="503"/>
    </row>
    <row r="2851" spans="2:2" ht="12" customHeight="1">
      <c r="B2851" s="503"/>
    </row>
    <row r="2852" spans="2:2" ht="12" customHeight="1">
      <c r="B2852" s="503"/>
    </row>
    <row r="2853" spans="2:2" ht="12" customHeight="1">
      <c r="B2853" s="503"/>
    </row>
    <row r="2854" spans="2:2" ht="12" customHeight="1">
      <c r="B2854" s="503"/>
    </row>
    <row r="2855" spans="2:2" ht="12" customHeight="1">
      <c r="B2855" s="503"/>
    </row>
    <row r="2856" spans="2:2" ht="12" customHeight="1">
      <c r="B2856" s="503"/>
    </row>
    <row r="2857" spans="2:2" ht="12" customHeight="1">
      <c r="B2857" s="503"/>
    </row>
    <row r="2858" spans="2:2" ht="12" customHeight="1">
      <c r="B2858" s="503"/>
    </row>
    <row r="2859" spans="2:2" ht="12" customHeight="1">
      <c r="B2859" s="503"/>
    </row>
    <row r="2860" spans="2:2" ht="12" customHeight="1">
      <c r="B2860" s="503"/>
    </row>
    <row r="2861" spans="2:2" ht="12" customHeight="1">
      <c r="B2861" s="503"/>
    </row>
    <row r="2862" spans="2:2" ht="12" customHeight="1">
      <c r="B2862" s="503"/>
    </row>
    <row r="2863" spans="2:2" ht="12" customHeight="1">
      <c r="B2863" s="503"/>
    </row>
    <row r="2864" spans="2:2" ht="12" customHeight="1">
      <c r="B2864" s="503"/>
    </row>
    <row r="2865" spans="2:2" ht="12" customHeight="1">
      <c r="B2865" s="503"/>
    </row>
    <row r="2866" spans="2:2" ht="12" customHeight="1">
      <c r="B2866" s="503"/>
    </row>
    <row r="2867" spans="2:2" ht="12" customHeight="1">
      <c r="B2867" s="503"/>
    </row>
    <row r="2868" spans="2:2" ht="12" customHeight="1">
      <c r="B2868" s="503"/>
    </row>
    <row r="2869" spans="2:2" ht="12" customHeight="1">
      <c r="B2869" s="503"/>
    </row>
    <row r="2870" spans="2:2" ht="12" customHeight="1">
      <c r="B2870" s="503"/>
    </row>
    <row r="2871" spans="2:2" ht="12" customHeight="1">
      <c r="B2871" s="503"/>
    </row>
    <row r="2872" spans="2:2" ht="12" customHeight="1">
      <c r="B2872" s="503"/>
    </row>
    <row r="2873" spans="2:2" ht="12" customHeight="1">
      <c r="B2873" s="503"/>
    </row>
    <row r="2874" spans="2:2" ht="12" customHeight="1">
      <c r="B2874" s="503"/>
    </row>
    <row r="2875" spans="2:2" ht="12" customHeight="1">
      <c r="B2875" s="503"/>
    </row>
    <row r="2876" spans="2:2" ht="12" customHeight="1">
      <c r="B2876" s="503"/>
    </row>
    <row r="2877" spans="2:2" ht="12" customHeight="1">
      <c r="B2877" s="503"/>
    </row>
    <row r="2878" spans="2:2" ht="12" customHeight="1">
      <c r="B2878" s="503"/>
    </row>
    <row r="2879" spans="2:2" ht="12" customHeight="1">
      <c r="B2879" s="503"/>
    </row>
    <row r="2880" spans="2:2" ht="12" customHeight="1">
      <c r="B2880" s="503"/>
    </row>
    <row r="2881" spans="2:2" ht="12" customHeight="1">
      <c r="B2881" s="503"/>
    </row>
    <row r="2882" spans="2:2" ht="12" customHeight="1">
      <c r="B2882" s="503"/>
    </row>
    <row r="2883" spans="2:2" ht="12" customHeight="1">
      <c r="B2883" s="503"/>
    </row>
    <row r="2884" spans="2:2" ht="12" customHeight="1">
      <c r="B2884" s="503"/>
    </row>
    <row r="2885" spans="2:2" ht="12" customHeight="1">
      <c r="B2885" s="503"/>
    </row>
    <row r="2886" spans="2:2" ht="12" customHeight="1">
      <c r="B2886" s="503"/>
    </row>
    <row r="2887" spans="2:2" ht="12" customHeight="1">
      <c r="B2887" s="503"/>
    </row>
    <row r="2888" spans="2:2" ht="12" customHeight="1">
      <c r="B2888" s="503"/>
    </row>
    <row r="2889" spans="2:2" ht="12" customHeight="1">
      <c r="B2889" s="503"/>
    </row>
    <row r="2890" spans="2:2" ht="12" customHeight="1">
      <c r="B2890" s="503"/>
    </row>
    <row r="2891" spans="2:2" ht="12" customHeight="1">
      <c r="B2891" s="503"/>
    </row>
    <row r="2892" spans="2:2" ht="12" customHeight="1">
      <c r="B2892" s="503"/>
    </row>
    <row r="2893" spans="2:2" ht="12" customHeight="1">
      <c r="B2893" s="503"/>
    </row>
    <row r="2894" spans="2:2" ht="12" customHeight="1">
      <c r="B2894" s="503"/>
    </row>
    <row r="2895" spans="2:2" ht="12" customHeight="1">
      <c r="B2895" s="503"/>
    </row>
    <row r="2896" spans="2:2" ht="12" customHeight="1">
      <c r="B2896" s="503"/>
    </row>
    <row r="2897" spans="2:2" ht="12" customHeight="1">
      <c r="B2897" s="503"/>
    </row>
    <row r="2898" spans="2:2" ht="12" customHeight="1">
      <c r="B2898" s="503"/>
    </row>
    <row r="2899" spans="2:2" ht="12" customHeight="1">
      <c r="B2899" s="503"/>
    </row>
    <row r="2900" spans="2:2" ht="12" customHeight="1">
      <c r="B2900" s="503"/>
    </row>
    <row r="2901" spans="2:2" ht="12" customHeight="1">
      <c r="B2901" s="503"/>
    </row>
    <row r="2902" spans="2:2" ht="12" customHeight="1">
      <c r="B2902" s="503"/>
    </row>
    <row r="2903" spans="2:2" ht="12" customHeight="1">
      <c r="B2903" s="503"/>
    </row>
    <row r="2904" spans="2:2" ht="12" customHeight="1">
      <c r="B2904" s="503"/>
    </row>
    <row r="2905" spans="2:2" ht="12" customHeight="1">
      <c r="B2905" s="503"/>
    </row>
    <row r="2906" spans="2:2" ht="12" customHeight="1">
      <c r="B2906" s="503"/>
    </row>
    <row r="2907" spans="2:2" ht="12" customHeight="1">
      <c r="B2907" s="503"/>
    </row>
    <row r="2908" spans="2:2" ht="12" customHeight="1">
      <c r="B2908" s="503"/>
    </row>
    <row r="2909" spans="2:2" ht="12" customHeight="1">
      <c r="B2909" s="503"/>
    </row>
    <row r="2910" spans="2:2" ht="12" customHeight="1">
      <c r="B2910" s="503"/>
    </row>
    <row r="2911" spans="2:2" ht="12" customHeight="1">
      <c r="B2911" s="503"/>
    </row>
    <row r="2912" spans="2:2" ht="12" customHeight="1">
      <c r="B2912" s="503"/>
    </row>
    <row r="2913" spans="2:2" ht="12" customHeight="1">
      <c r="B2913" s="503"/>
    </row>
    <row r="2914" spans="2:2" ht="12" customHeight="1">
      <c r="B2914" s="503"/>
    </row>
    <row r="2915" spans="2:2" ht="12" customHeight="1">
      <c r="B2915" s="503"/>
    </row>
    <row r="2916" spans="2:2" ht="12" customHeight="1">
      <c r="B2916" s="503"/>
    </row>
    <row r="2917" spans="2:2" ht="12" customHeight="1">
      <c r="B2917" s="503"/>
    </row>
    <row r="2918" spans="2:2" ht="12" customHeight="1">
      <c r="B2918" s="503"/>
    </row>
    <row r="2919" spans="2:2" ht="12" customHeight="1">
      <c r="B2919" s="503"/>
    </row>
    <row r="2920" spans="2:2" ht="12" customHeight="1">
      <c r="B2920" s="503"/>
    </row>
    <row r="2921" spans="2:2" ht="12" customHeight="1">
      <c r="B2921" s="503"/>
    </row>
    <row r="2922" spans="2:2" ht="12" customHeight="1">
      <c r="B2922" s="503"/>
    </row>
    <row r="2923" spans="2:2" ht="12" customHeight="1">
      <c r="B2923" s="503"/>
    </row>
    <row r="2924" spans="2:2" ht="12" customHeight="1">
      <c r="B2924" s="503"/>
    </row>
    <row r="2925" spans="2:2" ht="12" customHeight="1">
      <c r="B2925" s="503"/>
    </row>
    <row r="2926" spans="2:2" ht="12" customHeight="1">
      <c r="B2926" s="503"/>
    </row>
    <row r="2927" spans="2:2" ht="12" customHeight="1">
      <c r="B2927" s="503"/>
    </row>
    <row r="2928" spans="2:2" ht="12" customHeight="1">
      <c r="B2928" s="503"/>
    </row>
    <row r="2929" spans="2:2" ht="12" customHeight="1">
      <c r="B2929" s="503"/>
    </row>
    <row r="2930" spans="2:2" ht="12" customHeight="1">
      <c r="B2930" s="503"/>
    </row>
    <row r="2931" spans="2:2" ht="12" customHeight="1">
      <c r="B2931" s="503"/>
    </row>
    <row r="2932" spans="2:2" ht="12" customHeight="1">
      <c r="B2932" s="503"/>
    </row>
    <row r="2933" spans="2:2" ht="12" customHeight="1">
      <c r="B2933" s="503"/>
    </row>
    <row r="2934" spans="2:2" ht="12" customHeight="1">
      <c r="B2934" s="503"/>
    </row>
    <row r="2935" spans="2:2" ht="12" customHeight="1">
      <c r="B2935" s="503"/>
    </row>
    <row r="2936" spans="2:2" ht="12" customHeight="1">
      <c r="B2936" s="503"/>
    </row>
    <row r="2937" spans="2:2" ht="12" customHeight="1">
      <c r="B2937" s="503"/>
    </row>
    <row r="2938" spans="2:2" ht="12" customHeight="1">
      <c r="B2938" s="503"/>
    </row>
    <row r="2939" spans="2:2" ht="12" customHeight="1">
      <c r="B2939" s="503"/>
    </row>
    <row r="2940" spans="2:2" ht="12" customHeight="1">
      <c r="B2940" s="503"/>
    </row>
    <row r="2941" spans="2:2" ht="12" customHeight="1">
      <c r="B2941" s="503"/>
    </row>
    <row r="2942" spans="2:2" ht="12" customHeight="1">
      <c r="B2942" s="503"/>
    </row>
    <row r="2943" spans="2:2" ht="12" customHeight="1">
      <c r="B2943" s="503"/>
    </row>
    <row r="2944" spans="2:2" ht="12" customHeight="1">
      <c r="B2944" s="503"/>
    </row>
    <row r="2945" spans="2:2" ht="12" customHeight="1">
      <c r="B2945" s="503"/>
    </row>
    <row r="2946" spans="2:2" ht="12" customHeight="1">
      <c r="B2946" s="503"/>
    </row>
    <row r="2947" spans="2:2" ht="12" customHeight="1">
      <c r="B2947" s="503"/>
    </row>
    <row r="2948" spans="2:2" ht="12" customHeight="1">
      <c r="B2948" s="503"/>
    </row>
    <row r="2949" spans="2:2" ht="12" customHeight="1">
      <c r="B2949" s="503"/>
    </row>
    <row r="2950" spans="2:2" ht="12" customHeight="1">
      <c r="B2950" s="503"/>
    </row>
    <row r="2951" spans="2:2" ht="12" customHeight="1">
      <c r="B2951" s="503"/>
    </row>
    <row r="2952" spans="2:2" ht="12" customHeight="1">
      <c r="B2952" s="503"/>
    </row>
    <row r="2953" spans="2:2" ht="12" customHeight="1">
      <c r="B2953" s="503"/>
    </row>
    <row r="2954" spans="2:2" ht="12" customHeight="1">
      <c r="B2954" s="503"/>
    </row>
    <row r="2955" spans="2:2" ht="12" customHeight="1">
      <c r="B2955" s="503"/>
    </row>
    <row r="2956" spans="2:2" ht="12" customHeight="1">
      <c r="B2956" s="503"/>
    </row>
    <row r="2957" spans="2:2" ht="12" customHeight="1">
      <c r="B2957" s="503"/>
    </row>
    <row r="2958" spans="2:2" ht="12" customHeight="1">
      <c r="B2958" s="503"/>
    </row>
    <row r="2959" spans="2:2" ht="12" customHeight="1">
      <c r="B2959" s="503"/>
    </row>
    <row r="2960" spans="2:2" ht="12" customHeight="1">
      <c r="B2960" s="503"/>
    </row>
    <row r="2961" spans="2:2" ht="12" customHeight="1">
      <c r="B2961" s="503"/>
    </row>
    <row r="2962" spans="2:2" ht="12" customHeight="1">
      <c r="B2962" s="503"/>
    </row>
    <row r="2963" spans="2:2" ht="12" customHeight="1">
      <c r="B2963" s="503"/>
    </row>
    <row r="2964" spans="2:2" ht="12" customHeight="1">
      <c r="B2964" s="503"/>
    </row>
    <row r="2965" spans="2:2" ht="12" customHeight="1">
      <c r="B2965" s="503"/>
    </row>
    <row r="2966" spans="2:2" ht="12" customHeight="1">
      <c r="B2966" s="503"/>
    </row>
    <row r="2967" spans="2:2" ht="12" customHeight="1">
      <c r="B2967" s="503"/>
    </row>
    <row r="2968" spans="2:2" ht="12" customHeight="1">
      <c r="B2968" s="503"/>
    </row>
    <row r="2969" spans="2:2" ht="12" customHeight="1">
      <c r="B2969" s="503"/>
    </row>
    <row r="2970" spans="2:2" ht="12" customHeight="1">
      <c r="B2970" s="503"/>
    </row>
    <row r="2971" spans="2:2" ht="12" customHeight="1">
      <c r="B2971" s="503"/>
    </row>
    <row r="2972" spans="2:2" ht="12" customHeight="1">
      <c r="B2972" s="503"/>
    </row>
    <row r="2973" spans="2:2" ht="12" customHeight="1">
      <c r="B2973" s="503"/>
    </row>
    <row r="2974" spans="2:2" ht="12" customHeight="1">
      <c r="B2974" s="503"/>
    </row>
    <row r="2975" spans="2:2" ht="12" customHeight="1">
      <c r="B2975" s="503"/>
    </row>
    <row r="2976" spans="2:2" ht="12" customHeight="1">
      <c r="B2976" s="503"/>
    </row>
    <row r="2977" spans="2:2" ht="12" customHeight="1">
      <c r="B2977" s="503"/>
    </row>
    <row r="2978" spans="2:2" ht="12" customHeight="1">
      <c r="B2978" s="503"/>
    </row>
    <row r="2979" spans="2:2" ht="12" customHeight="1">
      <c r="B2979" s="503"/>
    </row>
    <row r="2980" spans="2:2" ht="12" customHeight="1">
      <c r="B2980" s="503"/>
    </row>
    <row r="2981" spans="2:2" ht="12" customHeight="1">
      <c r="B2981" s="503"/>
    </row>
    <row r="2982" spans="2:2" ht="12" customHeight="1">
      <c r="B2982" s="503"/>
    </row>
    <row r="2983" spans="2:2" ht="12" customHeight="1">
      <c r="B2983" s="503"/>
    </row>
    <row r="2984" spans="2:2" ht="12" customHeight="1">
      <c r="B2984" s="503"/>
    </row>
    <row r="2985" spans="2:2" ht="12" customHeight="1">
      <c r="B2985" s="503"/>
    </row>
    <row r="2986" spans="2:2" ht="12" customHeight="1">
      <c r="B2986" s="503"/>
    </row>
    <row r="2987" spans="2:2" ht="12" customHeight="1">
      <c r="B2987" s="503"/>
    </row>
    <row r="2988" spans="2:2" ht="12" customHeight="1">
      <c r="B2988" s="503"/>
    </row>
    <row r="2989" spans="2:2" ht="12" customHeight="1">
      <c r="B2989" s="503"/>
    </row>
    <row r="2990" spans="2:2" ht="12" customHeight="1">
      <c r="B2990" s="503"/>
    </row>
    <row r="2991" spans="2:2" ht="12" customHeight="1">
      <c r="B2991" s="503"/>
    </row>
    <row r="2992" spans="2:2" ht="12" customHeight="1">
      <c r="B2992" s="503"/>
    </row>
    <row r="2993" spans="2:2" ht="12" customHeight="1">
      <c r="B2993" s="503"/>
    </row>
    <row r="2994" spans="2:2" ht="12" customHeight="1">
      <c r="B2994" s="503"/>
    </row>
    <row r="2995" spans="2:2" ht="12" customHeight="1">
      <c r="B2995" s="503"/>
    </row>
    <row r="2996" spans="2:2" ht="12" customHeight="1">
      <c r="B2996" s="503"/>
    </row>
    <row r="2997" spans="2:2" ht="12" customHeight="1">
      <c r="B2997" s="503"/>
    </row>
    <row r="2998" spans="2:2" ht="12" customHeight="1">
      <c r="B2998" s="503"/>
    </row>
    <row r="2999" spans="2:2" ht="12" customHeight="1">
      <c r="B2999" s="503"/>
    </row>
    <row r="3000" spans="2:2" ht="12" customHeight="1">
      <c r="B3000" s="503"/>
    </row>
    <row r="3001" spans="2:2" ht="12" customHeight="1">
      <c r="B3001" s="503"/>
    </row>
    <row r="3002" spans="2:2" ht="12" customHeight="1">
      <c r="B3002" s="503"/>
    </row>
    <row r="3003" spans="2:2" ht="12" customHeight="1">
      <c r="B3003" s="503"/>
    </row>
    <row r="3004" spans="2:2" ht="12" customHeight="1">
      <c r="B3004" s="503"/>
    </row>
    <row r="3005" spans="2:2" ht="12" customHeight="1">
      <c r="B3005" s="503"/>
    </row>
    <row r="3006" spans="2:2" ht="12" customHeight="1">
      <c r="B3006" s="503"/>
    </row>
    <row r="3007" spans="2:2" ht="12" customHeight="1">
      <c r="B3007" s="503"/>
    </row>
    <row r="3008" spans="2:2" ht="12" customHeight="1">
      <c r="B3008" s="503"/>
    </row>
    <row r="3009" spans="2:2" ht="12" customHeight="1">
      <c r="B3009" s="503"/>
    </row>
    <row r="3010" spans="2:2" ht="12" customHeight="1">
      <c r="B3010" s="503"/>
    </row>
    <row r="3011" spans="2:2" ht="12" customHeight="1">
      <c r="B3011" s="503"/>
    </row>
    <row r="3012" spans="2:2" ht="12" customHeight="1">
      <c r="B3012" s="503"/>
    </row>
    <row r="3013" spans="2:2" ht="12" customHeight="1">
      <c r="B3013" s="503"/>
    </row>
    <row r="3014" spans="2:2" ht="12" customHeight="1">
      <c r="B3014" s="503"/>
    </row>
    <row r="3015" spans="2:2" ht="12" customHeight="1">
      <c r="B3015" s="503"/>
    </row>
    <row r="3016" spans="2:2" ht="12" customHeight="1">
      <c r="B3016" s="503"/>
    </row>
    <row r="3017" spans="2:2" ht="12" customHeight="1">
      <c r="B3017" s="503"/>
    </row>
    <row r="3018" spans="2:2" ht="12" customHeight="1">
      <c r="B3018" s="503"/>
    </row>
    <row r="3019" spans="2:2" ht="12" customHeight="1">
      <c r="B3019" s="503"/>
    </row>
    <row r="3020" spans="2:2" ht="12" customHeight="1">
      <c r="B3020" s="503"/>
    </row>
    <row r="3021" spans="2:2" ht="12" customHeight="1">
      <c r="B3021" s="503"/>
    </row>
    <row r="3022" spans="2:2" ht="12" customHeight="1">
      <c r="B3022" s="503"/>
    </row>
    <row r="3023" spans="2:2" ht="12" customHeight="1">
      <c r="B3023" s="503"/>
    </row>
    <row r="3024" spans="2:2" ht="12" customHeight="1">
      <c r="B3024" s="503"/>
    </row>
    <row r="3025" spans="2:2" ht="12" customHeight="1">
      <c r="B3025" s="503"/>
    </row>
    <row r="3026" spans="2:2" ht="12" customHeight="1">
      <c r="B3026" s="503"/>
    </row>
    <row r="3027" spans="2:2" ht="12" customHeight="1">
      <c r="B3027" s="503"/>
    </row>
    <row r="3028" spans="2:2" ht="12" customHeight="1">
      <c r="B3028" s="503"/>
    </row>
    <row r="3029" spans="2:2" ht="12" customHeight="1">
      <c r="B3029" s="503"/>
    </row>
    <row r="3030" spans="2:2" ht="12" customHeight="1">
      <c r="B3030" s="503"/>
    </row>
    <row r="3031" spans="2:2" ht="12" customHeight="1">
      <c r="B3031" s="503"/>
    </row>
    <row r="3032" spans="2:2" ht="12" customHeight="1">
      <c r="B3032" s="503"/>
    </row>
    <row r="3033" spans="2:2" ht="12" customHeight="1">
      <c r="B3033" s="503"/>
    </row>
    <row r="3034" spans="2:2" ht="12" customHeight="1">
      <c r="B3034" s="503"/>
    </row>
    <row r="3035" spans="2:2" ht="12" customHeight="1">
      <c r="B3035" s="503"/>
    </row>
    <row r="3036" spans="2:2" ht="12" customHeight="1">
      <c r="B3036" s="503"/>
    </row>
    <row r="3037" spans="2:2" ht="12" customHeight="1">
      <c r="B3037" s="503"/>
    </row>
    <row r="3038" spans="2:2" ht="12" customHeight="1">
      <c r="B3038" s="503"/>
    </row>
    <row r="3039" spans="2:2" ht="12" customHeight="1">
      <c r="B3039" s="503"/>
    </row>
    <row r="3040" spans="2:2" ht="12" customHeight="1">
      <c r="B3040" s="503"/>
    </row>
    <row r="3041" spans="2:2" ht="12" customHeight="1">
      <c r="B3041" s="503"/>
    </row>
    <row r="3042" spans="2:2" ht="12" customHeight="1">
      <c r="B3042" s="503"/>
    </row>
    <row r="3043" spans="2:2" ht="12" customHeight="1">
      <c r="B3043" s="503"/>
    </row>
    <row r="3044" spans="2:2" ht="12" customHeight="1">
      <c r="B3044" s="503"/>
    </row>
    <row r="3045" spans="2:2" ht="12" customHeight="1">
      <c r="B3045" s="503"/>
    </row>
    <row r="3046" spans="2:2" ht="12" customHeight="1">
      <c r="B3046" s="503"/>
    </row>
    <row r="3047" spans="2:2" ht="12" customHeight="1">
      <c r="B3047" s="503"/>
    </row>
    <row r="3048" spans="2:2" ht="12" customHeight="1">
      <c r="B3048" s="503"/>
    </row>
    <row r="3049" spans="2:2" ht="12" customHeight="1">
      <c r="B3049" s="503"/>
    </row>
    <row r="3050" spans="2:2" ht="12" customHeight="1">
      <c r="B3050" s="503"/>
    </row>
    <row r="3051" spans="2:2" ht="12" customHeight="1">
      <c r="B3051" s="503"/>
    </row>
    <row r="3052" spans="2:2" ht="12" customHeight="1">
      <c r="B3052" s="503"/>
    </row>
    <row r="3053" spans="2:2" ht="12" customHeight="1">
      <c r="B3053" s="503"/>
    </row>
    <row r="3054" spans="2:2" ht="12" customHeight="1">
      <c r="B3054" s="503"/>
    </row>
    <row r="3055" spans="2:2" ht="12" customHeight="1">
      <c r="B3055" s="503"/>
    </row>
    <row r="3056" spans="2:2" ht="12" customHeight="1">
      <c r="B3056" s="503"/>
    </row>
    <row r="3057" spans="2:2" ht="12" customHeight="1">
      <c r="B3057" s="503"/>
    </row>
    <row r="3058" spans="2:2" ht="12" customHeight="1">
      <c r="B3058" s="503"/>
    </row>
    <row r="3059" spans="2:2" ht="12" customHeight="1">
      <c r="B3059" s="503"/>
    </row>
    <row r="3060" spans="2:2" ht="12" customHeight="1">
      <c r="B3060" s="503"/>
    </row>
    <row r="3061" spans="2:2" ht="12" customHeight="1">
      <c r="B3061" s="503"/>
    </row>
    <row r="3062" spans="2:2" ht="12" customHeight="1">
      <c r="B3062" s="503"/>
    </row>
    <row r="3063" spans="2:2" ht="12" customHeight="1">
      <c r="B3063" s="503"/>
    </row>
    <row r="3064" spans="2:2" ht="12" customHeight="1">
      <c r="B3064" s="503"/>
    </row>
    <row r="3065" spans="2:2" ht="12" customHeight="1">
      <c r="B3065" s="503"/>
    </row>
    <row r="3066" spans="2:2" ht="12" customHeight="1">
      <c r="B3066" s="503"/>
    </row>
    <row r="3067" spans="2:2" ht="12" customHeight="1">
      <c r="B3067" s="503"/>
    </row>
    <row r="3068" spans="2:2" ht="12" customHeight="1">
      <c r="B3068" s="503"/>
    </row>
    <row r="3069" spans="2:2" ht="12" customHeight="1">
      <c r="B3069" s="503"/>
    </row>
    <row r="3070" spans="2:2" ht="12" customHeight="1">
      <c r="B3070" s="503"/>
    </row>
    <row r="3071" spans="2:2" ht="12" customHeight="1">
      <c r="B3071" s="503"/>
    </row>
    <row r="3072" spans="2:2" ht="12" customHeight="1">
      <c r="B3072" s="503"/>
    </row>
    <row r="3073" spans="2:2" ht="12" customHeight="1">
      <c r="B3073" s="503"/>
    </row>
    <row r="3074" spans="2:2" ht="12" customHeight="1">
      <c r="B3074" s="503"/>
    </row>
    <row r="3075" spans="2:2" ht="12" customHeight="1">
      <c r="B3075" s="503"/>
    </row>
    <row r="3076" spans="2:2" ht="12" customHeight="1">
      <c r="B3076" s="503"/>
    </row>
    <row r="3077" spans="2:2" ht="12" customHeight="1">
      <c r="B3077" s="503"/>
    </row>
    <row r="3078" spans="2:2" ht="12" customHeight="1">
      <c r="B3078" s="503"/>
    </row>
    <row r="3079" spans="2:2" ht="12" customHeight="1">
      <c r="B3079" s="503"/>
    </row>
    <row r="3080" spans="2:2" ht="12" customHeight="1">
      <c r="B3080" s="503"/>
    </row>
    <row r="3081" spans="2:2" ht="12" customHeight="1">
      <c r="B3081" s="503"/>
    </row>
    <row r="3082" spans="2:2" ht="12" customHeight="1">
      <c r="B3082" s="503"/>
    </row>
    <row r="3083" spans="2:2" ht="12" customHeight="1">
      <c r="B3083" s="503"/>
    </row>
    <row r="3084" spans="2:2" ht="12" customHeight="1">
      <c r="B3084" s="503"/>
    </row>
    <row r="3085" spans="2:2" ht="12" customHeight="1">
      <c r="B3085" s="503"/>
    </row>
    <row r="3086" spans="2:2" ht="12" customHeight="1">
      <c r="B3086" s="503"/>
    </row>
    <row r="3087" spans="2:2" ht="12" customHeight="1">
      <c r="B3087" s="503"/>
    </row>
    <row r="3088" spans="2:2" ht="12" customHeight="1">
      <c r="B3088" s="503"/>
    </row>
    <row r="3089" spans="2:2" ht="12" customHeight="1">
      <c r="B3089" s="503"/>
    </row>
    <row r="3090" spans="2:2" ht="12" customHeight="1">
      <c r="B3090" s="503"/>
    </row>
    <row r="3091" spans="2:2" ht="12" customHeight="1">
      <c r="B3091" s="503"/>
    </row>
    <row r="3092" spans="2:2" ht="12" customHeight="1">
      <c r="B3092" s="503"/>
    </row>
    <row r="3093" spans="2:2" ht="12" customHeight="1">
      <c r="B3093" s="503"/>
    </row>
    <row r="3094" spans="2:2" ht="12" customHeight="1">
      <c r="B3094" s="503"/>
    </row>
    <row r="3095" spans="2:2" ht="12" customHeight="1">
      <c r="B3095" s="503"/>
    </row>
    <row r="3096" spans="2:2" ht="12" customHeight="1">
      <c r="B3096" s="503"/>
    </row>
    <row r="3097" spans="2:2" ht="12" customHeight="1">
      <c r="B3097" s="503"/>
    </row>
    <row r="3098" spans="2:2" ht="12" customHeight="1">
      <c r="B3098" s="503"/>
    </row>
    <row r="3099" spans="2:2" ht="12" customHeight="1">
      <c r="B3099" s="503"/>
    </row>
    <row r="3100" spans="2:2" ht="12" customHeight="1">
      <c r="B3100" s="503"/>
    </row>
    <row r="3101" spans="2:2" ht="12" customHeight="1">
      <c r="B3101" s="503"/>
    </row>
    <row r="3102" spans="2:2" ht="12" customHeight="1">
      <c r="B3102" s="503"/>
    </row>
    <row r="3103" spans="2:2" ht="12" customHeight="1">
      <c r="B3103" s="503"/>
    </row>
    <row r="3104" spans="2:2" ht="12" customHeight="1">
      <c r="B3104" s="503"/>
    </row>
    <row r="3105" spans="2:2" ht="12" customHeight="1">
      <c r="B3105" s="503"/>
    </row>
    <row r="3106" spans="2:2" ht="12" customHeight="1">
      <c r="B3106" s="503"/>
    </row>
    <row r="3107" spans="2:2" ht="12" customHeight="1">
      <c r="B3107" s="503"/>
    </row>
    <row r="3108" spans="2:2" ht="12" customHeight="1">
      <c r="B3108" s="503"/>
    </row>
    <row r="3109" spans="2:2" ht="12" customHeight="1">
      <c r="B3109" s="503"/>
    </row>
    <row r="3110" spans="2:2" ht="12" customHeight="1">
      <c r="B3110" s="503"/>
    </row>
    <row r="3111" spans="2:2" ht="12" customHeight="1">
      <c r="B3111" s="503"/>
    </row>
    <row r="3112" spans="2:2" ht="12" customHeight="1">
      <c r="B3112" s="503"/>
    </row>
    <row r="3113" spans="2:2" ht="12" customHeight="1">
      <c r="B3113" s="503"/>
    </row>
    <row r="3114" spans="2:2" ht="12" customHeight="1">
      <c r="B3114" s="503"/>
    </row>
    <row r="3115" spans="2:2" ht="12" customHeight="1">
      <c r="B3115" s="503"/>
    </row>
    <row r="3116" spans="2:2" ht="12" customHeight="1">
      <c r="B3116" s="503"/>
    </row>
    <row r="3117" spans="2:2" ht="12" customHeight="1">
      <c r="B3117" s="503"/>
    </row>
    <row r="3118" spans="2:2" ht="12" customHeight="1">
      <c r="B3118" s="503"/>
    </row>
    <row r="3119" spans="2:2" ht="12" customHeight="1">
      <c r="B3119" s="503"/>
    </row>
    <row r="3120" spans="2:2" ht="12" customHeight="1">
      <c r="B3120" s="503"/>
    </row>
    <row r="3121" spans="2:2" ht="12" customHeight="1">
      <c r="B3121" s="503"/>
    </row>
    <row r="3122" spans="2:2" ht="12" customHeight="1">
      <c r="B3122" s="503"/>
    </row>
    <row r="3123" spans="2:2" ht="12" customHeight="1">
      <c r="B3123" s="503"/>
    </row>
    <row r="3124" spans="2:2" ht="12" customHeight="1">
      <c r="B3124" s="503"/>
    </row>
    <row r="3125" spans="2:2" ht="12" customHeight="1">
      <c r="B3125" s="503"/>
    </row>
    <row r="3126" spans="2:2" ht="12" customHeight="1">
      <c r="B3126" s="503"/>
    </row>
    <row r="3127" spans="2:2" ht="12" customHeight="1">
      <c r="B3127" s="503"/>
    </row>
    <row r="3128" spans="2:2" ht="12" customHeight="1">
      <c r="B3128" s="503"/>
    </row>
    <row r="3129" spans="2:2" ht="12" customHeight="1">
      <c r="B3129" s="503"/>
    </row>
    <row r="3130" spans="2:2" ht="12" customHeight="1">
      <c r="B3130" s="503"/>
    </row>
    <row r="3131" spans="2:2" ht="12" customHeight="1">
      <c r="B3131" s="503"/>
    </row>
    <row r="3132" spans="2:2" ht="12" customHeight="1">
      <c r="B3132" s="503"/>
    </row>
    <row r="3133" spans="2:2" ht="12" customHeight="1">
      <c r="B3133" s="503"/>
    </row>
    <row r="3134" spans="2:2" ht="12" customHeight="1">
      <c r="B3134" s="503"/>
    </row>
    <row r="3135" spans="2:2" ht="12" customHeight="1">
      <c r="B3135" s="503"/>
    </row>
    <row r="3136" spans="2:2" ht="12" customHeight="1">
      <c r="B3136" s="503"/>
    </row>
    <row r="3137" spans="2:2" ht="12" customHeight="1">
      <c r="B3137" s="503"/>
    </row>
    <row r="3138" spans="2:2" ht="12" customHeight="1">
      <c r="B3138" s="503"/>
    </row>
    <row r="3139" spans="2:2" ht="12" customHeight="1">
      <c r="B3139" s="503"/>
    </row>
    <row r="3140" spans="2:2" ht="12" customHeight="1">
      <c r="B3140" s="503"/>
    </row>
    <row r="3141" spans="2:2" ht="12" customHeight="1">
      <c r="B3141" s="503"/>
    </row>
    <row r="3142" spans="2:2" ht="12" customHeight="1">
      <c r="B3142" s="503"/>
    </row>
    <row r="3143" spans="2:2" ht="12" customHeight="1">
      <c r="B3143" s="503"/>
    </row>
    <row r="3144" spans="2:2" ht="12" customHeight="1">
      <c r="B3144" s="503"/>
    </row>
    <row r="3145" spans="2:2" ht="12" customHeight="1">
      <c r="B3145" s="503"/>
    </row>
    <row r="3146" spans="2:2" ht="12" customHeight="1">
      <c r="B3146" s="503"/>
    </row>
    <row r="3147" spans="2:2" ht="12" customHeight="1">
      <c r="B3147" s="503"/>
    </row>
    <row r="3148" spans="2:2" ht="12" customHeight="1">
      <c r="B3148" s="503"/>
    </row>
    <row r="3149" spans="2:2" ht="12" customHeight="1">
      <c r="B3149" s="503"/>
    </row>
    <row r="3150" spans="2:2" ht="12" customHeight="1">
      <c r="B3150" s="503"/>
    </row>
    <row r="3151" spans="2:2" ht="12" customHeight="1">
      <c r="B3151" s="503"/>
    </row>
    <row r="3152" spans="2:2" ht="12" customHeight="1">
      <c r="B3152" s="503"/>
    </row>
    <row r="3153" spans="2:2" ht="12" customHeight="1">
      <c r="B3153" s="503"/>
    </row>
    <row r="3154" spans="2:2" ht="12" customHeight="1">
      <c r="B3154" s="503"/>
    </row>
    <row r="3155" spans="2:2" ht="12" customHeight="1">
      <c r="B3155" s="503"/>
    </row>
    <row r="3156" spans="2:2" ht="12" customHeight="1">
      <c r="B3156" s="503"/>
    </row>
    <row r="3157" spans="2:2" ht="12" customHeight="1">
      <c r="B3157" s="503"/>
    </row>
    <row r="3158" spans="2:2" ht="12" customHeight="1">
      <c r="B3158" s="503"/>
    </row>
    <row r="3159" spans="2:2" ht="12" customHeight="1">
      <c r="B3159" s="503"/>
    </row>
    <row r="3160" spans="2:2" ht="12" customHeight="1">
      <c r="B3160" s="503"/>
    </row>
    <row r="3161" spans="2:2" ht="12" customHeight="1">
      <c r="B3161" s="503"/>
    </row>
    <row r="3162" spans="2:2" ht="12" customHeight="1">
      <c r="B3162" s="503"/>
    </row>
    <row r="3163" spans="2:2" ht="12" customHeight="1">
      <c r="B3163" s="503"/>
    </row>
    <row r="3164" spans="2:2" ht="12" customHeight="1">
      <c r="B3164" s="503"/>
    </row>
    <row r="3165" spans="2:2" ht="12" customHeight="1">
      <c r="B3165" s="503"/>
    </row>
    <row r="3166" spans="2:2" ht="12" customHeight="1">
      <c r="B3166" s="503"/>
    </row>
    <row r="3167" spans="2:2" ht="12" customHeight="1">
      <c r="B3167" s="503"/>
    </row>
    <row r="3168" spans="2:2" ht="12" customHeight="1">
      <c r="B3168" s="503"/>
    </row>
    <row r="3169" spans="2:2" ht="12" customHeight="1">
      <c r="B3169" s="503"/>
    </row>
    <row r="3170" spans="2:2" ht="12" customHeight="1">
      <c r="B3170" s="503"/>
    </row>
    <row r="3171" spans="2:2" ht="12" customHeight="1">
      <c r="B3171" s="503"/>
    </row>
    <row r="3172" spans="2:2" ht="12" customHeight="1">
      <c r="B3172" s="503"/>
    </row>
    <row r="3173" spans="2:2" ht="12" customHeight="1">
      <c r="B3173" s="503"/>
    </row>
    <row r="3174" spans="2:2" ht="12" customHeight="1">
      <c r="B3174" s="503"/>
    </row>
    <row r="3175" spans="2:2" ht="12" customHeight="1">
      <c r="B3175" s="503"/>
    </row>
    <row r="3176" spans="2:2" ht="12" customHeight="1">
      <c r="B3176" s="503"/>
    </row>
    <row r="3177" spans="2:2" ht="12" customHeight="1">
      <c r="B3177" s="503"/>
    </row>
    <row r="3178" spans="2:2" ht="12" customHeight="1">
      <c r="B3178" s="503"/>
    </row>
    <row r="3179" spans="2:2" ht="12" customHeight="1">
      <c r="B3179" s="503"/>
    </row>
    <row r="3180" spans="2:2" ht="12" customHeight="1">
      <c r="B3180" s="503"/>
    </row>
    <row r="3181" spans="2:2" ht="12" customHeight="1">
      <c r="B3181" s="503"/>
    </row>
    <row r="3182" spans="2:2" ht="12" customHeight="1">
      <c r="B3182" s="503"/>
    </row>
    <row r="3183" spans="2:2" ht="12" customHeight="1">
      <c r="B3183" s="503"/>
    </row>
    <row r="3184" spans="2:2" ht="12" customHeight="1">
      <c r="B3184" s="503"/>
    </row>
    <row r="3185" spans="2:2" ht="12" customHeight="1">
      <c r="B3185" s="503"/>
    </row>
    <row r="3186" spans="2:2" ht="12" customHeight="1">
      <c r="B3186" s="503"/>
    </row>
    <row r="3187" spans="2:2" ht="12" customHeight="1">
      <c r="B3187" s="503"/>
    </row>
    <row r="3188" spans="2:2" ht="12" customHeight="1">
      <c r="B3188" s="503"/>
    </row>
    <row r="3189" spans="2:2" ht="12" customHeight="1">
      <c r="B3189" s="503"/>
    </row>
    <row r="3190" spans="2:2" ht="12" customHeight="1">
      <c r="B3190" s="503"/>
    </row>
    <row r="3191" spans="2:2" ht="12" customHeight="1">
      <c r="B3191" s="503"/>
    </row>
    <row r="3192" spans="2:2" ht="12" customHeight="1">
      <c r="B3192" s="503"/>
    </row>
    <row r="3193" spans="2:2" ht="12" customHeight="1">
      <c r="B3193" s="503"/>
    </row>
    <row r="3194" spans="2:2" ht="12" customHeight="1">
      <c r="B3194" s="503"/>
    </row>
    <row r="3195" spans="2:2" ht="12" customHeight="1">
      <c r="B3195" s="503"/>
    </row>
    <row r="3196" spans="2:2" ht="12" customHeight="1">
      <c r="B3196" s="503"/>
    </row>
    <row r="3197" spans="2:2" ht="12" customHeight="1">
      <c r="B3197" s="503"/>
    </row>
    <row r="3198" spans="2:2" ht="12" customHeight="1">
      <c r="B3198" s="503"/>
    </row>
    <row r="3199" spans="2:2" ht="12" customHeight="1">
      <c r="B3199" s="503"/>
    </row>
    <row r="3200" spans="2:2" ht="12" customHeight="1">
      <c r="B3200" s="503"/>
    </row>
    <row r="3201" spans="2:2" ht="12" customHeight="1">
      <c r="B3201" s="503"/>
    </row>
    <row r="3202" spans="2:2" ht="12" customHeight="1">
      <c r="B3202" s="503"/>
    </row>
    <row r="3203" spans="2:2" ht="12" customHeight="1">
      <c r="B3203" s="503"/>
    </row>
    <row r="3204" spans="2:2" ht="12" customHeight="1">
      <c r="B3204" s="503"/>
    </row>
    <row r="3205" spans="2:2" ht="12" customHeight="1">
      <c r="B3205" s="503"/>
    </row>
    <row r="3206" spans="2:2" ht="12" customHeight="1">
      <c r="B3206" s="503"/>
    </row>
    <row r="3207" spans="2:2" ht="12" customHeight="1">
      <c r="B3207" s="503"/>
    </row>
    <row r="3208" spans="2:2" ht="12" customHeight="1">
      <c r="B3208" s="503"/>
    </row>
    <row r="3209" spans="2:2" ht="12" customHeight="1">
      <c r="B3209" s="503"/>
    </row>
    <row r="3210" spans="2:2" ht="12" customHeight="1">
      <c r="B3210" s="503"/>
    </row>
    <row r="3211" spans="2:2" ht="12" customHeight="1">
      <c r="B3211" s="503"/>
    </row>
    <row r="3212" spans="2:2" ht="12" customHeight="1">
      <c r="B3212" s="503"/>
    </row>
    <row r="3213" spans="2:2" ht="12" customHeight="1">
      <c r="B3213" s="503"/>
    </row>
    <row r="3214" spans="2:2" ht="12" customHeight="1">
      <c r="B3214" s="503"/>
    </row>
    <row r="3215" spans="2:2" ht="12" customHeight="1">
      <c r="B3215" s="503"/>
    </row>
    <row r="3216" spans="2:2" ht="12" customHeight="1">
      <c r="B3216" s="503"/>
    </row>
    <row r="3217" spans="2:2" ht="12" customHeight="1">
      <c r="B3217" s="503"/>
    </row>
    <row r="3218" spans="2:2" ht="12" customHeight="1">
      <c r="B3218" s="503"/>
    </row>
    <row r="3219" spans="2:2" ht="12" customHeight="1">
      <c r="B3219" s="503"/>
    </row>
    <row r="3220" spans="2:2" ht="12" customHeight="1">
      <c r="B3220" s="503"/>
    </row>
    <row r="3221" spans="2:2" ht="12" customHeight="1">
      <c r="B3221" s="503"/>
    </row>
    <row r="3222" spans="2:2" ht="12" customHeight="1">
      <c r="B3222" s="503"/>
    </row>
    <row r="3223" spans="2:2" ht="12" customHeight="1">
      <c r="B3223" s="503"/>
    </row>
    <row r="3224" spans="2:2" ht="12" customHeight="1">
      <c r="B3224" s="503"/>
    </row>
    <row r="3225" spans="2:2" ht="12" customHeight="1">
      <c r="B3225" s="503"/>
    </row>
    <row r="3226" spans="2:2" ht="12" customHeight="1">
      <c r="B3226" s="503"/>
    </row>
    <row r="3227" spans="2:2" ht="12" customHeight="1">
      <c r="B3227" s="503"/>
    </row>
    <row r="3228" spans="2:2" ht="12" customHeight="1">
      <c r="B3228" s="503"/>
    </row>
    <row r="3229" spans="2:2" ht="12" customHeight="1">
      <c r="B3229" s="503"/>
    </row>
    <row r="3230" spans="2:2" ht="12" customHeight="1">
      <c r="B3230" s="503"/>
    </row>
    <row r="3231" spans="2:2" ht="12" customHeight="1">
      <c r="B3231" s="503"/>
    </row>
    <row r="3232" spans="2:2" ht="12" customHeight="1">
      <c r="B3232" s="503"/>
    </row>
    <row r="3233" spans="2:2" ht="12" customHeight="1">
      <c r="B3233" s="503"/>
    </row>
    <row r="3234" spans="2:2" ht="12" customHeight="1">
      <c r="B3234" s="503"/>
    </row>
    <row r="3235" spans="2:2" ht="12" customHeight="1">
      <c r="B3235" s="503"/>
    </row>
    <row r="3236" spans="2:2" ht="12" customHeight="1">
      <c r="B3236" s="503"/>
    </row>
    <row r="3237" spans="2:2" ht="12" customHeight="1">
      <c r="B3237" s="503"/>
    </row>
    <row r="3238" spans="2:2" ht="12" customHeight="1">
      <c r="B3238" s="503"/>
    </row>
    <row r="3239" spans="2:2" ht="12" customHeight="1">
      <c r="B3239" s="503"/>
    </row>
    <row r="3240" spans="2:2" ht="12" customHeight="1">
      <c r="B3240" s="503"/>
    </row>
    <row r="3241" spans="2:2" ht="12" customHeight="1">
      <c r="B3241" s="503"/>
    </row>
    <row r="3242" spans="2:2" ht="12" customHeight="1">
      <c r="B3242" s="503"/>
    </row>
    <row r="3243" spans="2:2" ht="12" customHeight="1">
      <c r="B3243" s="503"/>
    </row>
    <row r="3244" spans="2:2" ht="12" customHeight="1">
      <c r="B3244" s="503"/>
    </row>
    <row r="3245" spans="2:2" ht="12" customHeight="1">
      <c r="B3245" s="503"/>
    </row>
    <row r="3246" spans="2:2" ht="12" customHeight="1">
      <c r="B3246" s="503"/>
    </row>
    <row r="3247" spans="2:2" ht="12" customHeight="1">
      <c r="B3247" s="503"/>
    </row>
    <row r="3248" spans="2:2" ht="12" customHeight="1">
      <c r="B3248" s="503"/>
    </row>
    <row r="3249" spans="2:2" ht="12" customHeight="1">
      <c r="B3249" s="503"/>
    </row>
    <row r="3250" spans="2:2" ht="12" customHeight="1">
      <c r="B3250" s="503"/>
    </row>
    <row r="3251" spans="2:2" ht="12" customHeight="1">
      <c r="B3251" s="503"/>
    </row>
    <row r="3252" spans="2:2" ht="12" customHeight="1">
      <c r="B3252" s="503"/>
    </row>
    <row r="3253" spans="2:2" ht="12" customHeight="1">
      <c r="B3253" s="503"/>
    </row>
    <row r="3254" spans="2:2" ht="12" customHeight="1">
      <c r="B3254" s="503"/>
    </row>
    <row r="3255" spans="2:2" ht="12" customHeight="1">
      <c r="B3255" s="503"/>
    </row>
    <row r="3256" spans="2:2" ht="12" customHeight="1">
      <c r="B3256" s="503"/>
    </row>
    <row r="3257" spans="2:2" ht="12" customHeight="1">
      <c r="B3257" s="503"/>
    </row>
    <row r="3258" spans="2:2" ht="12" customHeight="1">
      <c r="B3258" s="503"/>
    </row>
    <row r="3259" spans="2:2" ht="12" customHeight="1">
      <c r="B3259" s="503"/>
    </row>
    <row r="3260" spans="2:2" ht="12" customHeight="1">
      <c r="B3260" s="503"/>
    </row>
    <row r="3261" spans="2:2" ht="12" customHeight="1">
      <c r="B3261" s="503"/>
    </row>
    <row r="3262" spans="2:2" ht="12" customHeight="1">
      <c r="B3262" s="503"/>
    </row>
    <row r="3263" spans="2:2" ht="12" customHeight="1">
      <c r="B3263" s="503"/>
    </row>
    <row r="3264" spans="2:2" ht="12" customHeight="1">
      <c r="B3264" s="503"/>
    </row>
    <row r="3265" spans="2:2" ht="12" customHeight="1">
      <c r="B3265" s="503"/>
    </row>
    <row r="3266" spans="2:2" ht="12" customHeight="1">
      <c r="B3266" s="503"/>
    </row>
    <row r="3267" spans="2:2" ht="12" customHeight="1">
      <c r="B3267" s="503"/>
    </row>
    <row r="3268" spans="2:2" ht="12" customHeight="1">
      <c r="B3268" s="503"/>
    </row>
    <row r="3269" spans="2:2" ht="12" customHeight="1">
      <c r="B3269" s="503"/>
    </row>
    <row r="3270" spans="2:2" ht="12" customHeight="1">
      <c r="B3270" s="503"/>
    </row>
    <row r="3271" spans="2:2" ht="12" customHeight="1">
      <c r="B3271" s="503"/>
    </row>
    <row r="3272" spans="2:2" ht="12" customHeight="1">
      <c r="B3272" s="503"/>
    </row>
    <row r="3273" spans="2:2" ht="12" customHeight="1">
      <c r="B3273" s="503"/>
    </row>
    <row r="3274" spans="2:2" ht="12" customHeight="1">
      <c r="B3274" s="503"/>
    </row>
    <row r="3275" spans="2:2" ht="12" customHeight="1">
      <c r="B3275" s="503"/>
    </row>
    <row r="3276" spans="2:2" ht="12" customHeight="1">
      <c r="B3276" s="503"/>
    </row>
    <row r="3277" spans="2:2" ht="12" customHeight="1">
      <c r="B3277" s="503"/>
    </row>
    <row r="3278" spans="2:2" ht="12" customHeight="1">
      <c r="B3278" s="503"/>
    </row>
    <row r="3279" spans="2:2" ht="12" customHeight="1">
      <c r="B3279" s="503"/>
    </row>
    <row r="3280" spans="2:2" ht="12" customHeight="1">
      <c r="B3280" s="503"/>
    </row>
    <row r="3281" spans="2:2" ht="12" customHeight="1">
      <c r="B3281" s="503"/>
    </row>
    <row r="3282" spans="2:2" ht="12" customHeight="1">
      <c r="B3282" s="503"/>
    </row>
    <row r="3283" spans="2:2" ht="12" customHeight="1">
      <c r="B3283" s="503"/>
    </row>
    <row r="3284" spans="2:2" ht="12" customHeight="1">
      <c r="B3284" s="503"/>
    </row>
    <row r="3285" spans="2:2" ht="12" customHeight="1">
      <c r="B3285" s="503"/>
    </row>
    <row r="3286" spans="2:2" ht="12" customHeight="1">
      <c r="B3286" s="503"/>
    </row>
    <row r="3287" spans="2:2" ht="12" customHeight="1">
      <c r="B3287" s="503"/>
    </row>
    <row r="3288" spans="2:2" ht="12" customHeight="1">
      <c r="B3288" s="503"/>
    </row>
    <row r="3289" spans="2:2" ht="12" customHeight="1">
      <c r="B3289" s="503"/>
    </row>
    <row r="3290" spans="2:2" ht="12" customHeight="1">
      <c r="B3290" s="503"/>
    </row>
    <row r="3291" spans="2:2" ht="12" customHeight="1">
      <c r="B3291" s="503"/>
    </row>
    <row r="3292" spans="2:2" ht="12" customHeight="1">
      <c r="B3292" s="503"/>
    </row>
    <row r="3293" spans="2:2" ht="12" customHeight="1">
      <c r="B3293" s="503"/>
    </row>
    <row r="3294" spans="2:2" ht="12" customHeight="1">
      <c r="B3294" s="503"/>
    </row>
    <row r="3295" spans="2:2" ht="12" customHeight="1">
      <c r="B3295" s="503"/>
    </row>
    <row r="3296" spans="2:2" ht="12" customHeight="1">
      <c r="B3296" s="503"/>
    </row>
    <row r="3297" spans="2:2" ht="12" customHeight="1">
      <c r="B3297" s="503"/>
    </row>
    <row r="3298" spans="2:2" ht="12" customHeight="1">
      <c r="B3298" s="503"/>
    </row>
    <row r="3299" spans="2:2" ht="12" customHeight="1">
      <c r="B3299" s="503"/>
    </row>
    <row r="3300" spans="2:2" ht="12" customHeight="1">
      <c r="B3300" s="503"/>
    </row>
    <row r="3301" spans="2:2" ht="12" customHeight="1">
      <c r="B3301" s="503"/>
    </row>
    <row r="3302" spans="2:2" ht="12" customHeight="1">
      <c r="B3302" s="503"/>
    </row>
    <row r="3303" spans="2:2" ht="12" customHeight="1">
      <c r="B3303" s="503"/>
    </row>
    <row r="3304" spans="2:2" ht="12" customHeight="1">
      <c r="B3304" s="503"/>
    </row>
    <row r="3305" spans="2:2" ht="12" customHeight="1">
      <c r="B3305" s="503"/>
    </row>
    <row r="3306" spans="2:2" ht="12" customHeight="1">
      <c r="B3306" s="503"/>
    </row>
    <row r="3307" spans="2:2" ht="12" customHeight="1">
      <c r="B3307" s="503"/>
    </row>
    <row r="3308" spans="2:2" ht="12" customHeight="1">
      <c r="B3308" s="503"/>
    </row>
    <row r="3309" spans="2:2" ht="12" customHeight="1">
      <c r="B3309" s="503"/>
    </row>
    <row r="3310" spans="2:2" ht="12" customHeight="1">
      <c r="B3310" s="503"/>
    </row>
    <row r="3311" spans="2:2" ht="12" customHeight="1">
      <c r="B3311" s="503"/>
    </row>
    <row r="3312" spans="2:2" ht="12" customHeight="1">
      <c r="B3312" s="503"/>
    </row>
    <row r="3313" spans="2:2" ht="12" customHeight="1">
      <c r="B3313" s="503"/>
    </row>
    <row r="3314" spans="2:2" ht="12" customHeight="1">
      <c r="B3314" s="503"/>
    </row>
    <row r="3315" spans="2:2" ht="12" customHeight="1">
      <c r="B3315" s="503"/>
    </row>
    <row r="3316" spans="2:2" ht="12" customHeight="1">
      <c r="B3316" s="503"/>
    </row>
    <row r="3317" spans="2:2" ht="12" customHeight="1">
      <c r="B3317" s="503"/>
    </row>
    <row r="3318" spans="2:2" ht="12" customHeight="1">
      <c r="B3318" s="503"/>
    </row>
    <row r="3319" spans="2:2" ht="12" customHeight="1">
      <c r="B3319" s="503"/>
    </row>
    <row r="3320" spans="2:2" ht="12" customHeight="1">
      <c r="B3320" s="503"/>
    </row>
    <row r="3321" spans="2:2" ht="12" customHeight="1">
      <c r="B3321" s="503"/>
    </row>
    <row r="3322" spans="2:2" ht="12" customHeight="1">
      <c r="B3322" s="503"/>
    </row>
    <row r="3323" spans="2:2" ht="12" customHeight="1">
      <c r="B3323" s="503"/>
    </row>
    <row r="3324" spans="2:2" ht="12" customHeight="1">
      <c r="B3324" s="503"/>
    </row>
    <row r="3325" spans="2:2" ht="12" customHeight="1">
      <c r="B3325" s="503"/>
    </row>
    <row r="3326" spans="2:2" ht="12" customHeight="1">
      <c r="B3326" s="503"/>
    </row>
    <row r="3327" spans="2:2" ht="12" customHeight="1">
      <c r="B3327" s="503"/>
    </row>
    <row r="3328" spans="2:2" ht="12" customHeight="1">
      <c r="B3328" s="503"/>
    </row>
    <row r="3329" spans="2:2" ht="12" customHeight="1">
      <c r="B3329" s="503"/>
    </row>
    <row r="3330" spans="2:2" ht="12" customHeight="1">
      <c r="B3330" s="503"/>
    </row>
    <row r="3331" spans="2:2" ht="12" customHeight="1">
      <c r="B3331" s="503"/>
    </row>
    <row r="3332" spans="2:2" ht="12" customHeight="1">
      <c r="B3332" s="503"/>
    </row>
    <row r="3333" spans="2:2" ht="12" customHeight="1">
      <c r="B3333" s="503"/>
    </row>
    <row r="3334" spans="2:2" ht="12" customHeight="1">
      <c r="B3334" s="503"/>
    </row>
    <row r="3335" spans="2:2" ht="12" customHeight="1">
      <c r="B3335" s="503"/>
    </row>
    <row r="3336" spans="2:2" ht="12" customHeight="1">
      <c r="B3336" s="503"/>
    </row>
    <row r="3337" spans="2:2" ht="12" customHeight="1">
      <c r="B3337" s="503"/>
    </row>
    <row r="3338" spans="2:2" ht="12" customHeight="1">
      <c r="B3338" s="503"/>
    </row>
    <row r="3339" spans="2:2" ht="12" customHeight="1">
      <c r="B3339" s="503"/>
    </row>
    <row r="3340" spans="2:2" ht="12" customHeight="1">
      <c r="B3340" s="503"/>
    </row>
    <row r="3341" spans="2:2" ht="12" customHeight="1">
      <c r="B3341" s="503"/>
    </row>
    <row r="3342" spans="2:2" ht="12" customHeight="1">
      <c r="B3342" s="503"/>
    </row>
    <row r="3343" spans="2:2" ht="12" customHeight="1">
      <c r="B3343" s="503"/>
    </row>
    <row r="3344" spans="2:2" ht="12" customHeight="1">
      <c r="B3344" s="503"/>
    </row>
    <row r="3345" spans="2:2" ht="12" customHeight="1">
      <c r="B3345" s="503"/>
    </row>
    <row r="3346" spans="2:2" ht="12" customHeight="1">
      <c r="B3346" s="503"/>
    </row>
    <row r="3347" spans="2:2" ht="12" customHeight="1">
      <c r="B3347" s="503"/>
    </row>
    <row r="3348" spans="2:2" ht="12" customHeight="1">
      <c r="B3348" s="503"/>
    </row>
    <row r="3349" spans="2:2" ht="12" customHeight="1">
      <c r="B3349" s="503"/>
    </row>
    <row r="3350" spans="2:2" ht="12" customHeight="1">
      <c r="B3350" s="503"/>
    </row>
    <row r="3351" spans="2:2" ht="12" customHeight="1">
      <c r="B3351" s="503"/>
    </row>
    <row r="3352" spans="2:2" ht="12" customHeight="1">
      <c r="B3352" s="503"/>
    </row>
    <row r="3353" spans="2:2" ht="12" customHeight="1">
      <c r="B3353" s="503"/>
    </row>
    <row r="3354" spans="2:2" ht="12" customHeight="1">
      <c r="B3354" s="503"/>
    </row>
    <row r="3355" spans="2:2" ht="12" customHeight="1">
      <c r="B3355" s="503"/>
    </row>
    <row r="3356" spans="2:2" ht="12" customHeight="1">
      <c r="B3356" s="503"/>
    </row>
    <row r="3357" spans="2:2" ht="12" customHeight="1">
      <c r="B3357" s="503"/>
    </row>
    <row r="3358" spans="2:2" ht="12" customHeight="1">
      <c r="B3358" s="503"/>
    </row>
    <row r="3359" spans="2:2" ht="12" customHeight="1">
      <c r="B3359" s="503"/>
    </row>
    <row r="3360" spans="2:2" ht="12" customHeight="1">
      <c r="B3360" s="503"/>
    </row>
    <row r="3361" spans="2:2" ht="12" customHeight="1">
      <c r="B3361" s="503"/>
    </row>
    <row r="3362" spans="2:2" ht="12" customHeight="1">
      <c r="B3362" s="503"/>
    </row>
    <row r="3363" spans="2:2" ht="12" customHeight="1">
      <c r="B3363" s="503"/>
    </row>
    <row r="3364" spans="2:2" ht="12" customHeight="1">
      <c r="B3364" s="503"/>
    </row>
    <row r="3365" spans="2:2" ht="12" customHeight="1">
      <c r="B3365" s="503"/>
    </row>
    <row r="3366" spans="2:2" ht="12" customHeight="1">
      <c r="B3366" s="503"/>
    </row>
    <row r="3367" spans="2:2" ht="12" customHeight="1">
      <c r="B3367" s="503"/>
    </row>
    <row r="3368" spans="2:2" ht="12" customHeight="1">
      <c r="B3368" s="503"/>
    </row>
    <row r="3369" spans="2:2" ht="12" customHeight="1">
      <c r="B3369" s="503"/>
    </row>
    <row r="3370" spans="2:2" ht="12" customHeight="1">
      <c r="B3370" s="503"/>
    </row>
    <row r="3371" spans="2:2" ht="12" customHeight="1">
      <c r="B3371" s="503"/>
    </row>
    <row r="3372" spans="2:2" ht="12" customHeight="1">
      <c r="B3372" s="503"/>
    </row>
    <row r="3373" spans="2:2" ht="12" customHeight="1">
      <c r="B3373" s="503"/>
    </row>
    <row r="3374" spans="2:2" ht="12" customHeight="1">
      <c r="B3374" s="503"/>
    </row>
    <row r="3375" spans="2:2" ht="12" customHeight="1">
      <c r="B3375" s="503"/>
    </row>
    <row r="3376" spans="2:2" ht="12" customHeight="1">
      <c r="B3376" s="503"/>
    </row>
    <row r="3377" spans="2:2" ht="12" customHeight="1">
      <c r="B3377" s="503"/>
    </row>
    <row r="3378" spans="2:2" ht="12" customHeight="1">
      <c r="B3378" s="503"/>
    </row>
    <row r="3379" spans="2:2" ht="12" customHeight="1">
      <c r="B3379" s="503"/>
    </row>
    <row r="3380" spans="2:2" ht="12" customHeight="1">
      <c r="B3380" s="503"/>
    </row>
    <row r="3381" spans="2:2" ht="12" customHeight="1">
      <c r="B3381" s="503"/>
    </row>
    <row r="3382" spans="2:2" ht="12" customHeight="1">
      <c r="B3382" s="503"/>
    </row>
    <row r="3383" spans="2:2" ht="12" customHeight="1">
      <c r="B3383" s="503"/>
    </row>
    <row r="3384" spans="2:2" ht="12" customHeight="1">
      <c r="B3384" s="503"/>
    </row>
    <row r="3385" spans="2:2" ht="12" customHeight="1">
      <c r="B3385" s="503"/>
    </row>
    <row r="3386" spans="2:2" ht="12" customHeight="1">
      <c r="B3386" s="503"/>
    </row>
    <row r="3387" spans="2:2" ht="12" customHeight="1">
      <c r="B3387" s="503"/>
    </row>
    <row r="3388" spans="2:2" ht="12" customHeight="1">
      <c r="B3388" s="503"/>
    </row>
    <row r="3389" spans="2:2" ht="12" customHeight="1">
      <c r="B3389" s="503"/>
    </row>
    <row r="3390" spans="2:2" ht="12" customHeight="1">
      <c r="B3390" s="503"/>
    </row>
    <row r="3391" spans="2:2" ht="12" customHeight="1">
      <c r="B3391" s="503"/>
    </row>
    <row r="3392" spans="2:2" ht="12" customHeight="1">
      <c r="B3392" s="503"/>
    </row>
    <row r="3393" spans="2:2" ht="12" customHeight="1">
      <c r="B3393" s="503"/>
    </row>
    <row r="3394" spans="2:2" ht="12" customHeight="1">
      <c r="B3394" s="503"/>
    </row>
    <row r="3395" spans="2:2" ht="12" customHeight="1">
      <c r="B3395" s="503"/>
    </row>
    <row r="3396" spans="2:2" ht="12" customHeight="1">
      <c r="B3396" s="503"/>
    </row>
    <row r="3397" spans="2:2" ht="12" customHeight="1">
      <c r="B3397" s="503"/>
    </row>
    <row r="3398" spans="2:2" ht="12" customHeight="1">
      <c r="B3398" s="503"/>
    </row>
    <row r="3399" spans="2:2" ht="12" customHeight="1">
      <c r="B3399" s="503"/>
    </row>
    <row r="3400" spans="2:2" ht="12" customHeight="1">
      <c r="B3400" s="503"/>
    </row>
    <row r="3401" spans="2:2" ht="12" customHeight="1">
      <c r="B3401" s="503"/>
    </row>
    <row r="3402" spans="2:2" ht="12" customHeight="1">
      <c r="B3402" s="503"/>
    </row>
    <row r="3403" spans="2:2" ht="12" customHeight="1">
      <c r="B3403" s="503"/>
    </row>
    <row r="3404" spans="2:2" ht="12" customHeight="1">
      <c r="B3404" s="503"/>
    </row>
    <row r="3405" spans="2:2" ht="12" customHeight="1">
      <c r="B3405" s="503"/>
    </row>
    <row r="3406" spans="2:2" ht="12" customHeight="1">
      <c r="B3406" s="503"/>
    </row>
    <row r="3407" spans="2:2" ht="12" customHeight="1">
      <c r="B3407" s="503"/>
    </row>
    <row r="3408" spans="2:2" ht="12" customHeight="1">
      <c r="B3408" s="503"/>
    </row>
    <row r="3409" spans="2:2" ht="12" customHeight="1">
      <c r="B3409" s="503"/>
    </row>
    <row r="3410" spans="2:2" ht="12" customHeight="1">
      <c r="B3410" s="503"/>
    </row>
    <row r="3411" spans="2:2" ht="12" customHeight="1">
      <c r="B3411" s="503"/>
    </row>
    <row r="3412" spans="2:2" ht="12" customHeight="1">
      <c r="B3412" s="503"/>
    </row>
    <row r="3413" spans="2:2" ht="12" customHeight="1">
      <c r="B3413" s="503"/>
    </row>
    <row r="3414" spans="2:2" ht="12" customHeight="1">
      <c r="B3414" s="503"/>
    </row>
    <row r="3415" spans="2:2" ht="12" customHeight="1">
      <c r="B3415" s="503"/>
    </row>
    <row r="3416" spans="2:2" ht="12" customHeight="1">
      <c r="B3416" s="503"/>
    </row>
    <row r="3417" spans="2:2" ht="12" customHeight="1">
      <c r="B3417" s="503"/>
    </row>
    <row r="3418" spans="2:2" ht="12" customHeight="1">
      <c r="B3418" s="503"/>
    </row>
    <row r="3419" spans="2:2" ht="12" customHeight="1">
      <c r="B3419" s="503"/>
    </row>
    <row r="3420" spans="2:2" ht="12" customHeight="1">
      <c r="B3420" s="503"/>
    </row>
    <row r="3421" spans="2:2" ht="12" customHeight="1">
      <c r="B3421" s="503"/>
    </row>
    <row r="3422" spans="2:2" ht="12" customHeight="1">
      <c r="B3422" s="503"/>
    </row>
    <row r="3423" spans="2:2" ht="12" customHeight="1">
      <c r="B3423" s="503"/>
    </row>
    <row r="3424" spans="2:2" ht="12" customHeight="1">
      <c r="B3424" s="503"/>
    </row>
    <row r="3425" spans="2:2" ht="12" customHeight="1">
      <c r="B3425" s="503"/>
    </row>
    <row r="3426" spans="2:2" ht="12" customHeight="1">
      <c r="B3426" s="503"/>
    </row>
    <row r="3427" spans="2:2" ht="12" customHeight="1">
      <c r="B3427" s="503"/>
    </row>
    <row r="3428" spans="2:2" ht="12" customHeight="1">
      <c r="B3428" s="503"/>
    </row>
    <row r="3429" spans="2:2" ht="12" customHeight="1">
      <c r="B3429" s="503"/>
    </row>
    <row r="3430" spans="2:2" ht="12" customHeight="1">
      <c r="B3430" s="503"/>
    </row>
    <row r="3431" spans="2:2" ht="12" customHeight="1">
      <c r="B3431" s="503"/>
    </row>
    <row r="3432" spans="2:2" ht="12" customHeight="1">
      <c r="B3432" s="503"/>
    </row>
    <row r="3433" spans="2:2" ht="12" customHeight="1">
      <c r="B3433" s="503"/>
    </row>
    <row r="3434" spans="2:2" ht="12" customHeight="1">
      <c r="B3434" s="503"/>
    </row>
    <row r="3435" spans="2:2" ht="12" customHeight="1">
      <c r="B3435" s="503"/>
    </row>
    <row r="3436" spans="2:2" ht="12" customHeight="1">
      <c r="B3436" s="503"/>
    </row>
    <row r="3437" spans="2:2" ht="12" customHeight="1">
      <c r="B3437" s="503"/>
    </row>
    <row r="3438" spans="2:2" ht="12" customHeight="1">
      <c r="B3438" s="503"/>
    </row>
    <row r="3439" spans="2:2" ht="12" customHeight="1">
      <c r="B3439" s="503"/>
    </row>
    <row r="3440" spans="2:2" ht="12" customHeight="1">
      <c r="B3440" s="503"/>
    </row>
    <row r="3441" spans="2:2" ht="12" customHeight="1">
      <c r="B3441" s="503"/>
    </row>
    <row r="3442" spans="2:2" ht="12" customHeight="1">
      <c r="B3442" s="503"/>
    </row>
    <row r="3443" spans="2:2" ht="12" customHeight="1">
      <c r="B3443" s="503"/>
    </row>
    <row r="3444" spans="2:2" ht="12" customHeight="1">
      <c r="B3444" s="503"/>
    </row>
    <row r="3445" spans="2:2" ht="12" customHeight="1">
      <c r="B3445" s="503"/>
    </row>
    <row r="3446" spans="2:2" ht="12" customHeight="1">
      <c r="B3446" s="503"/>
    </row>
    <row r="3447" spans="2:2" ht="12" customHeight="1">
      <c r="B3447" s="503"/>
    </row>
    <row r="3448" spans="2:2" ht="12" customHeight="1">
      <c r="B3448" s="503"/>
    </row>
    <row r="3449" spans="2:2" ht="12" customHeight="1">
      <c r="B3449" s="503"/>
    </row>
    <row r="3450" spans="2:2" ht="12" customHeight="1">
      <c r="B3450" s="503"/>
    </row>
    <row r="3451" spans="2:2" ht="12" customHeight="1">
      <c r="B3451" s="503"/>
    </row>
    <row r="3452" spans="2:2" ht="12" customHeight="1">
      <c r="B3452" s="503"/>
    </row>
    <row r="3453" spans="2:2" ht="12" customHeight="1">
      <c r="B3453" s="503"/>
    </row>
    <row r="3454" spans="2:2" ht="12" customHeight="1">
      <c r="B3454" s="503"/>
    </row>
    <row r="3455" spans="2:2" ht="12" customHeight="1">
      <c r="B3455" s="503"/>
    </row>
    <row r="3456" spans="2:2" ht="12" customHeight="1">
      <c r="B3456" s="503"/>
    </row>
    <row r="3457" spans="2:2" ht="12" customHeight="1">
      <c r="B3457" s="503"/>
    </row>
    <row r="3458" spans="2:2" ht="12" customHeight="1">
      <c r="B3458" s="503"/>
    </row>
    <row r="3459" spans="2:2" ht="12" customHeight="1">
      <c r="B3459" s="503"/>
    </row>
    <row r="3460" spans="2:2" ht="12" customHeight="1">
      <c r="B3460" s="503"/>
    </row>
    <row r="3461" spans="2:2" ht="12" customHeight="1">
      <c r="B3461" s="503"/>
    </row>
    <row r="3462" spans="2:2" ht="12" customHeight="1">
      <c r="B3462" s="503"/>
    </row>
    <row r="3463" spans="2:2" ht="12" customHeight="1">
      <c r="B3463" s="503"/>
    </row>
    <row r="3464" spans="2:2" ht="12" customHeight="1">
      <c r="B3464" s="503"/>
    </row>
    <row r="3465" spans="2:2" ht="12" customHeight="1">
      <c r="B3465" s="503"/>
    </row>
    <row r="3466" spans="2:2" ht="12" customHeight="1">
      <c r="B3466" s="503"/>
    </row>
    <row r="3467" spans="2:2" ht="12" customHeight="1">
      <c r="B3467" s="503"/>
    </row>
    <row r="3468" spans="2:2" ht="12" customHeight="1">
      <c r="B3468" s="503"/>
    </row>
    <row r="3469" spans="2:2" ht="12" customHeight="1">
      <c r="B3469" s="503"/>
    </row>
    <row r="3470" spans="2:2" ht="12" customHeight="1">
      <c r="B3470" s="503"/>
    </row>
    <row r="3471" spans="2:2" ht="12" customHeight="1">
      <c r="B3471" s="503"/>
    </row>
    <row r="3472" spans="2:2" ht="12" customHeight="1">
      <c r="B3472" s="503"/>
    </row>
    <row r="3473" spans="2:2" ht="12" customHeight="1">
      <c r="B3473" s="503"/>
    </row>
    <row r="3474" spans="2:2" ht="12" customHeight="1">
      <c r="B3474" s="503"/>
    </row>
    <row r="3475" spans="2:2" ht="12" customHeight="1">
      <c r="B3475" s="503"/>
    </row>
    <row r="3476" spans="2:2" ht="12" customHeight="1">
      <c r="B3476" s="503"/>
    </row>
    <row r="3477" spans="2:2" ht="12" customHeight="1">
      <c r="B3477" s="503"/>
    </row>
    <row r="3478" spans="2:2" ht="12" customHeight="1">
      <c r="B3478" s="503"/>
    </row>
    <row r="3479" spans="2:2" ht="12" customHeight="1">
      <c r="B3479" s="503"/>
    </row>
    <row r="3480" spans="2:2" ht="12" customHeight="1">
      <c r="B3480" s="503"/>
    </row>
    <row r="3481" spans="2:2" ht="12" customHeight="1">
      <c r="B3481" s="503"/>
    </row>
    <row r="3482" spans="2:2" ht="12" customHeight="1">
      <c r="B3482" s="503"/>
    </row>
    <row r="3483" spans="2:2" ht="12" customHeight="1">
      <c r="B3483" s="503"/>
    </row>
    <row r="3484" spans="2:2" ht="12" customHeight="1">
      <c r="B3484" s="503"/>
    </row>
    <row r="3485" spans="2:2" ht="12" customHeight="1">
      <c r="B3485" s="503"/>
    </row>
    <row r="3486" spans="2:2" ht="12" customHeight="1">
      <c r="B3486" s="503"/>
    </row>
    <row r="3487" spans="2:2" ht="12" customHeight="1">
      <c r="B3487" s="503"/>
    </row>
    <row r="3488" spans="2:2" ht="12" customHeight="1">
      <c r="B3488" s="503"/>
    </row>
    <row r="3489" spans="2:2" ht="12" customHeight="1">
      <c r="B3489" s="503"/>
    </row>
    <row r="3490" spans="2:2" ht="12" customHeight="1">
      <c r="B3490" s="503"/>
    </row>
    <row r="3491" spans="2:2" ht="12" customHeight="1">
      <c r="B3491" s="503"/>
    </row>
    <row r="3492" spans="2:2" ht="12" customHeight="1">
      <c r="B3492" s="503"/>
    </row>
    <row r="3493" spans="2:2" ht="12" customHeight="1">
      <c r="B3493" s="503"/>
    </row>
    <row r="3494" spans="2:2" ht="12" customHeight="1">
      <c r="B3494" s="503"/>
    </row>
    <row r="3495" spans="2:2" ht="12" customHeight="1">
      <c r="B3495" s="503"/>
    </row>
    <row r="3496" spans="2:2" ht="12" customHeight="1">
      <c r="B3496" s="503"/>
    </row>
    <row r="3497" spans="2:2" ht="12" customHeight="1">
      <c r="B3497" s="503"/>
    </row>
    <row r="3498" spans="2:2" ht="12" customHeight="1">
      <c r="B3498" s="503"/>
    </row>
    <row r="3499" spans="2:2" ht="12" customHeight="1">
      <c r="B3499" s="503"/>
    </row>
    <row r="3500" spans="2:2" ht="12" customHeight="1">
      <c r="B3500" s="503"/>
    </row>
    <row r="3501" spans="2:2" ht="12" customHeight="1">
      <c r="B3501" s="503"/>
    </row>
    <row r="3502" spans="2:2" ht="12" customHeight="1">
      <c r="B3502" s="503"/>
    </row>
    <row r="3503" spans="2:2" ht="12" customHeight="1">
      <c r="B3503" s="503"/>
    </row>
    <row r="3504" spans="2:2" ht="12" customHeight="1">
      <c r="B3504" s="503"/>
    </row>
    <row r="3505" spans="2:2" ht="12" customHeight="1">
      <c r="B3505" s="503"/>
    </row>
    <row r="3506" spans="2:2" ht="12" customHeight="1">
      <c r="B3506" s="503"/>
    </row>
    <row r="3507" spans="2:2" ht="12" customHeight="1">
      <c r="B3507" s="503"/>
    </row>
    <row r="3508" spans="2:2" ht="12" customHeight="1">
      <c r="B3508" s="503"/>
    </row>
    <row r="3509" spans="2:2" ht="12" customHeight="1">
      <c r="B3509" s="503"/>
    </row>
    <row r="3510" spans="2:2" ht="12" customHeight="1">
      <c r="B3510" s="503"/>
    </row>
    <row r="3511" spans="2:2" ht="12" customHeight="1">
      <c r="B3511" s="503"/>
    </row>
    <row r="3512" spans="2:2" ht="12" customHeight="1">
      <c r="B3512" s="503"/>
    </row>
    <row r="3513" spans="2:2" ht="12" customHeight="1">
      <c r="B3513" s="503"/>
    </row>
    <row r="3514" spans="2:2" ht="12" customHeight="1">
      <c r="B3514" s="503"/>
    </row>
    <row r="3515" spans="2:2" ht="12" customHeight="1">
      <c r="B3515" s="503"/>
    </row>
    <row r="3516" spans="2:2" ht="12" customHeight="1">
      <c r="B3516" s="503"/>
    </row>
    <row r="3517" spans="2:2" ht="12" customHeight="1">
      <c r="B3517" s="503"/>
    </row>
    <row r="3518" spans="2:2" ht="12" customHeight="1">
      <c r="B3518" s="503"/>
    </row>
    <row r="3519" spans="2:2" ht="12" customHeight="1">
      <c r="B3519" s="503"/>
    </row>
    <row r="3520" spans="2:2" ht="12" customHeight="1">
      <c r="B3520" s="503"/>
    </row>
    <row r="3521" spans="2:2" ht="12" customHeight="1">
      <c r="B3521" s="503"/>
    </row>
    <row r="3522" spans="2:2" ht="12" customHeight="1">
      <c r="B3522" s="503"/>
    </row>
    <row r="3523" spans="2:2" ht="12" customHeight="1">
      <c r="B3523" s="503"/>
    </row>
    <row r="3524" spans="2:2" ht="12" customHeight="1">
      <c r="B3524" s="503"/>
    </row>
    <row r="3525" spans="2:2" ht="12" customHeight="1">
      <c r="B3525" s="503"/>
    </row>
    <row r="3526" spans="2:2" ht="12" customHeight="1">
      <c r="B3526" s="503"/>
    </row>
    <row r="3527" spans="2:2" ht="12" customHeight="1">
      <c r="B3527" s="503"/>
    </row>
    <row r="3528" spans="2:2" ht="12" customHeight="1">
      <c r="B3528" s="503"/>
    </row>
    <row r="3529" spans="2:2" ht="12" customHeight="1">
      <c r="B3529" s="503"/>
    </row>
    <row r="3530" spans="2:2" ht="12" customHeight="1">
      <c r="B3530" s="503"/>
    </row>
    <row r="3531" spans="2:2" ht="12" customHeight="1">
      <c r="B3531" s="503"/>
    </row>
    <row r="3532" spans="2:2" ht="12" customHeight="1">
      <c r="B3532" s="503"/>
    </row>
    <row r="3533" spans="2:2" ht="12" customHeight="1">
      <c r="B3533" s="503"/>
    </row>
    <row r="3534" spans="2:2" ht="12" customHeight="1">
      <c r="B3534" s="503"/>
    </row>
    <row r="3535" spans="2:2" ht="12" customHeight="1">
      <c r="B3535" s="503"/>
    </row>
    <row r="3536" spans="2:2" ht="12" customHeight="1">
      <c r="B3536" s="503"/>
    </row>
    <row r="3537" spans="2:2" ht="12" customHeight="1">
      <c r="B3537" s="503"/>
    </row>
    <row r="3538" spans="2:2" ht="12" customHeight="1">
      <c r="B3538" s="503"/>
    </row>
    <row r="3539" spans="2:2" ht="12" customHeight="1">
      <c r="B3539" s="503"/>
    </row>
    <row r="3540" spans="2:2" ht="12" customHeight="1">
      <c r="B3540" s="503"/>
    </row>
    <row r="3541" spans="2:2" ht="12" customHeight="1">
      <c r="B3541" s="503"/>
    </row>
    <row r="3542" spans="2:2" ht="12" customHeight="1">
      <c r="B3542" s="503"/>
    </row>
    <row r="3543" spans="2:2" ht="12" customHeight="1">
      <c r="B3543" s="503"/>
    </row>
    <row r="3544" spans="2:2" ht="12" customHeight="1">
      <c r="B3544" s="503"/>
    </row>
    <row r="3545" spans="2:2" ht="12" customHeight="1">
      <c r="B3545" s="503"/>
    </row>
    <row r="3546" spans="2:2" ht="12" customHeight="1">
      <c r="B3546" s="503"/>
    </row>
    <row r="3547" spans="2:2" ht="12" customHeight="1">
      <c r="B3547" s="503"/>
    </row>
    <row r="3548" spans="2:2" ht="12" customHeight="1">
      <c r="B3548" s="503"/>
    </row>
    <row r="3549" spans="2:2" ht="12" customHeight="1">
      <c r="B3549" s="503"/>
    </row>
    <row r="3550" spans="2:2" ht="12" customHeight="1">
      <c r="B3550" s="503"/>
    </row>
    <row r="3551" spans="2:2" ht="12" customHeight="1">
      <c r="B3551" s="503"/>
    </row>
    <row r="3552" spans="2:2" ht="12" customHeight="1">
      <c r="B3552" s="503"/>
    </row>
    <row r="3553" spans="2:2" ht="12" customHeight="1">
      <c r="B3553" s="503"/>
    </row>
    <row r="3554" spans="2:2" ht="12" customHeight="1">
      <c r="B3554" s="503"/>
    </row>
    <row r="3555" spans="2:2" ht="12" customHeight="1">
      <c r="B3555" s="503"/>
    </row>
    <row r="3556" spans="2:2" ht="12" customHeight="1">
      <c r="B3556" s="503"/>
    </row>
    <row r="3557" spans="2:2" ht="12" customHeight="1">
      <c r="B3557" s="503"/>
    </row>
    <row r="3558" spans="2:2" ht="12" customHeight="1">
      <c r="B3558" s="503"/>
    </row>
    <row r="3559" spans="2:2" ht="12" customHeight="1">
      <c r="B3559" s="503"/>
    </row>
    <row r="3560" spans="2:2" ht="12" customHeight="1">
      <c r="B3560" s="503"/>
    </row>
    <row r="3561" spans="2:2" ht="12" customHeight="1">
      <c r="B3561" s="503"/>
    </row>
    <row r="3562" spans="2:2" ht="12" customHeight="1">
      <c r="B3562" s="503"/>
    </row>
    <row r="3563" spans="2:2" ht="12" customHeight="1">
      <c r="B3563" s="503"/>
    </row>
    <row r="3564" spans="2:2" ht="12" customHeight="1">
      <c r="B3564" s="503"/>
    </row>
    <row r="3565" spans="2:2" ht="12" customHeight="1">
      <c r="B3565" s="503"/>
    </row>
    <row r="3566" spans="2:2" ht="12" customHeight="1">
      <c r="B3566" s="503"/>
    </row>
    <row r="3567" spans="2:2" ht="12" customHeight="1">
      <c r="B3567" s="503"/>
    </row>
    <row r="3568" spans="2:2" ht="12" customHeight="1">
      <c r="B3568" s="503"/>
    </row>
    <row r="3569" spans="2:2" ht="12" customHeight="1">
      <c r="B3569" s="503"/>
    </row>
    <row r="3570" spans="2:2" ht="12" customHeight="1">
      <c r="B3570" s="503"/>
    </row>
    <row r="3571" spans="2:2" ht="12" customHeight="1">
      <c r="B3571" s="503"/>
    </row>
    <row r="3572" spans="2:2" ht="12" customHeight="1">
      <c r="B3572" s="503"/>
    </row>
    <row r="3573" spans="2:2" ht="12" customHeight="1">
      <c r="B3573" s="503"/>
    </row>
    <row r="3574" spans="2:2" ht="12" customHeight="1">
      <c r="B3574" s="503"/>
    </row>
    <row r="3575" spans="2:2" ht="12" customHeight="1">
      <c r="B3575" s="503"/>
    </row>
    <row r="3576" spans="2:2" ht="12" customHeight="1">
      <c r="B3576" s="503"/>
    </row>
    <row r="3577" spans="2:2" ht="12" customHeight="1">
      <c r="B3577" s="503"/>
    </row>
    <row r="3578" spans="2:2" ht="12" customHeight="1">
      <c r="B3578" s="503"/>
    </row>
    <row r="3579" spans="2:2" ht="12" customHeight="1">
      <c r="B3579" s="503"/>
    </row>
    <row r="3580" spans="2:2" ht="12" customHeight="1">
      <c r="B3580" s="503"/>
    </row>
    <row r="3581" spans="2:2" ht="12" customHeight="1">
      <c r="B3581" s="503"/>
    </row>
    <row r="3582" spans="2:2" ht="12" customHeight="1">
      <c r="B3582" s="503"/>
    </row>
    <row r="3583" spans="2:2" ht="12" customHeight="1">
      <c r="B3583" s="503"/>
    </row>
    <row r="3584" spans="2:2" ht="12" customHeight="1">
      <c r="B3584" s="503"/>
    </row>
    <row r="3585" spans="2:2" ht="12" customHeight="1">
      <c r="B3585" s="503"/>
    </row>
    <row r="3586" spans="2:2" ht="12" customHeight="1">
      <c r="B3586" s="503"/>
    </row>
    <row r="3587" spans="2:2" ht="12" customHeight="1">
      <c r="B3587" s="503"/>
    </row>
    <row r="3588" spans="2:2" ht="12" customHeight="1">
      <c r="B3588" s="503"/>
    </row>
    <row r="3589" spans="2:2" ht="12" customHeight="1">
      <c r="B3589" s="503"/>
    </row>
    <row r="3590" spans="2:2" ht="12" customHeight="1">
      <c r="B3590" s="503"/>
    </row>
    <row r="3591" spans="2:2" ht="12" customHeight="1">
      <c r="B3591" s="503"/>
    </row>
    <row r="3592" spans="2:2" ht="12" customHeight="1">
      <c r="B3592" s="503"/>
    </row>
    <row r="3593" spans="2:2" ht="12" customHeight="1">
      <c r="B3593" s="503"/>
    </row>
    <row r="3594" spans="2:2" ht="12" customHeight="1">
      <c r="B3594" s="503"/>
    </row>
    <row r="3595" spans="2:2" ht="12" customHeight="1">
      <c r="B3595" s="503"/>
    </row>
    <row r="3596" spans="2:2" ht="12" customHeight="1">
      <c r="B3596" s="503"/>
    </row>
    <row r="3597" spans="2:2" ht="12" customHeight="1">
      <c r="B3597" s="503"/>
    </row>
    <row r="3598" spans="2:2" ht="12" customHeight="1">
      <c r="B3598" s="503"/>
    </row>
    <row r="3599" spans="2:2" ht="12" customHeight="1">
      <c r="B3599" s="503"/>
    </row>
    <row r="3600" spans="2:2" ht="12" customHeight="1">
      <c r="B3600" s="503"/>
    </row>
    <row r="3601" spans="2:2" ht="12" customHeight="1">
      <c r="B3601" s="503"/>
    </row>
    <row r="3602" spans="2:2" ht="12" customHeight="1">
      <c r="B3602" s="503"/>
    </row>
    <row r="3603" spans="2:2" ht="12" customHeight="1">
      <c r="B3603" s="503"/>
    </row>
    <row r="3604" spans="2:2" ht="12" customHeight="1">
      <c r="B3604" s="503"/>
    </row>
    <row r="3605" spans="2:2" ht="12" customHeight="1">
      <c r="B3605" s="503"/>
    </row>
    <row r="3606" spans="2:2" ht="12" customHeight="1">
      <c r="B3606" s="503"/>
    </row>
    <row r="3607" spans="2:2" ht="12" customHeight="1">
      <c r="B3607" s="503"/>
    </row>
    <row r="3608" spans="2:2" ht="12" customHeight="1">
      <c r="B3608" s="503"/>
    </row>
    <row r="3609" spans="2:2" ht="12" customHeight="1">
      <c r="B3609" s="503"/>
    </row>
    <row r="3610" spans="2:2" ht="12" customHeight="1">
      <c r="B3610" s="503"/>
    </row>
    <row r="3611" spans="2:2" ht="12" customHeight="1">
      <c r="B3611" s="503"/>
    </row>
    <row r="3612" spans="2:2" ht="12" customHeight="1">
      <c r="B3612" s="503"/>
    </row>
    <row r="3613" spans="2:2" ht="12" customHeight="1">
      <c r="B3613" s="503"/>
    </row>
    <row r="3614" spans="2:2" ht="12" customHeight="1">
      <c r="B3614" s="503"/>
    </row>
    <row r="3615" spans="2:2" ht="12" customHeight="1">
      <c r="B3615" s="503"/>
    </row>
    <row r="3616" spans="2:2" ht="12" customHeight="1">
      <c r="B3616" s="503"/>
    </row>
    <row r="3617" spans="2:2" ht="12" customHeight="1">
      <c r="B3617" s="503"/>
    </row>
    <row r="3618" spans="2:2" ht="12" customHeight="1">
      <c r="B3618" s="503"/>
    </row>
    <row r="3619" spans="2:2" ht="12" customHeight="1">
      <c r="B3619" s="503"/>
    </row>
    <row r="3620" spans="2:2" ht="12" customHeight="1">
      <c r="B3620" s="503"/>
    </row>
    <row r="3621" spans="2:2" ht="12" customHeight="1">
      <c r="B3621" s="503"/>
    </row>
    <row r="3622" spans="2:2" ht="12" customHeight="1">
      <c r="B3622" s="503"/>
    </row>
    <row r="3623" spans="2:2" ht="12" customHeight="1">
      <c r="B3623" s="503"/>
    </row>
    <row r="3624" spans="2:2" ht="12" customHeight="1">
      <c r="B3624" s="503"/>
    </row>
    <row r="3625" spans="2:2" ht="12" customHeight="1">
      <c r="B3625" s="503"/>
    </row>
    <row r="3626" spans="2:2" ht="12" customHeight="1">
      <c r="B3626" s="503"/>
    </row>
    <row r="3627" spans="2:2" ht="12" customHeight="1">
      <c r="B3627" s="503"/>
    </row>
    <row r="3628" spans="2:2" ht="12" customHeight="1">
      <c r="B3628" s="503"/>
    </row>
    <row r="3629" spans="2:2" ht="12" customHeight="1">
      <c r="B3629" s="503"/>
    </row>
    <row r="3630" spans="2:2" ht="12" customHeight="1">
      <c r="B3630" s="503"/>
    </row>
    <row r="3631" spans="2:2" ht="12" customHeight="1">
      <c r="B3631" s="503"/>
    </row>
    <row r="3632" spans="2:2" ht="12" customHeight="1">
      <c r="B3632" s="503"/>
    </row>
    <row r="3633" spans="2:2" ht="12" customHeight="1">
      <c r="B3633" s="503"/>
    </row>
    <row r="3634" spans="2:2" ht="12" customHeight="1">
      <c r="B3634" s="503"/>
    </row>
    <row r="3635" spans="2:2" ht="12" customHeight="1">
      <c r="B3635" s="503"/>
    </row>
    <row r="3636" spans="2:2" ht="12" customHeight="1">
      <c r="B3636" s="503"/>
    </row>
    <row r="3637" spans="2:2" ht="12" customHeight="1">
      <c r="B3637" s="503"/>
    </row>
    <row r="3638" spans="2:2" ht="12" customHeight="1">
      <c r="B3638" s="503"/>
    </row>
    <row r="3639" spans="2:2" ht="12" customHeight="1">
      <c r="B3639" s="503"/>
    </row>
    <row r="3640" spans="2:2" ht="12" customHeight="1">
      <c r="B3640" s="503"/>
    </row>
    <row r="3641" spans="2:2" ht="12" customHeight="1">
      <c r="B3641" s="503"/>
    </row>
    <row r="3642" spans="2:2" ht="12" customHeight="1">
      <c r="B3642" s="503"/>
    </row>
    <row r="3643" spans="2:2" ht="12" customHeight="1">
      <c r="B3643" s="503"/>
    </row>
    <row r="3644" spans="2:2" ht="12" customHeight="1">
      <c r="B3644" s="503"/>
    </row>
    <row r="3645" spans="2:2" ht="12" customHeight="1">
      <c r="B3645" s="503"/>
    </row>
    <row r="3646" spans="2:2" ht="12" customHeight="1">
      <c r="B3646" s="503"/>
    </row>
    <row r="3647" spans="2:2" ht="12" customHeight="1">
      <c r="B3647" s="503"/>
    </row>
    <row r="3648" spans="2:2" ht="12" customHeight="1">
      <c r="B3648" s="503"/>
    </row>
    <row r="3649" spans="2:2" ht="12" customHeight="1">
      <c r="B3649" s="503"/>
    </row>
    <row r="3650" spans="2:2" ht="12" customHeight="1">
      <c r="B3650" s="503"/>
    </row>
    <row r="3651" spans="2:2" ht="12" customHeight="1">
      <c r="B3651" s="503"/>
    </row>
    <row r="3652" spans="2:2" ht="12" customHeight="1">
      <c r="B3652" s="503"/>
    </row>
    <row r="3653" spans="2:2" ht="12" customHeight="1">
      <c r="B3653" s="503"/>
    </row>
    <row r="3654" spans="2:2" ht="12" customHeight="1">
      <c r="B3654" s="503"/>
    </row>
    <row r="3655" spans="2:2" ht="12" customHeight="1">
      <c r="B3655" s="503"/>
    </row>
    <row r="3656" spans="2:2" ht="12" customHeight="1">
      <c r="B3656" s="503"/>
    </row>
    <row r="3657" spans="2:2" ht="12" customHeight="1">
      <c r="B3657" s="503"/>
    </row>
    <row r="3658" spans="2:2" ht="12" customHeight="1">
      <c r="B3658" s="503"/>
    </row>
    <row r="3659" spans="2:2" ht="12" customHeight="1">
      <c r="B3659" s="503"/>
    </row>
    <row r="3660" spans="2:2" ht="12" customHeight="1">
      <c r="B3660" s="503"/>
    </row>
    <row r="3661" spans="2:2" ht="12" customHeight="1">
      <c r="B3661" s="503"/>
    </row>
    <row r="3662" spans="2:2" ht="12" customHeight="1">
      <c r="B3662" s="503"/>
    </row>
    <row r="3663" spans="2:2" ht="12" customHeight="1">
      <c r="B3663" s="503"/>
    </row>
    <row r="3664" spans="2:2" ht="12" customHeight="1">
      <c r="B3664" s="503"/>
    </row>
    <row r="3665" spans="2:2" ht="12" customHeight="1">
      <c r="B3665" s="503"/>
    </row>
    <row r="3666" spans="2:2" ht="12" customHeight="1">
      <c r="B3666" s="503"/>
    </row>
    <row r="3667" spans="2:2" ht="12" customHeight="1">
      <c r="B3667" s="503"/>
    </row>
    <row r="3668" spans="2:2" ht="12" customHeight="1">
      <c r="B3668" s="503"/>
    </row>
    <row r="3669" spans="2:2" ht="12" customHeight="1">
      <c r="B3669" s="503"/>
    </row>
    <row r="3670" spans="2:2" ht="12" customHeight="1">
      <c r="B3670" s="503"/>
    </row>
    <row r="3671" spans="2:2" ht="12" customHeight="1">
      <c r="B3671" s="503"/>
    </row>
    <row r="3672" spans="2:2" ht="12" customHeight="1">
      <c r="B3672" s="503"/>
    </row>
    <row r="3673" spans="2:2" ht="12" customHeight="1">
      <c r="B3673" s="503"/>
    </row>
    <row r="3674" spans="2:2" ht="12" customHeight="1">
      <c r="B3674" s="503"/>
    </row>
    <row r="3675" spans="2:2" ht="12" customHeight="1">
      <c r="B3675" s="503"/>
    </row>
    <row r="3676" spans="2:2" ht="12" customHeight="1">
      <c r="B3676" s="503"/>
    </row>
    <row r="3677" spans="2:2" ht="12" customHeight="1">
      <c r="B3677" s="503"/>
    </row>
    <row r="3678" spans="2:2" ht="12" customHeight="1">
      <c r="B3678" s="503"/>
    </row>
    <row r="3679" spans="2:2" ht="12" customHeight="1">
      <c r="B3679" s="503"/>
    </row>
    <row r="3680" spans="2:2" ht="12" customHeight="1">
      <c r="B3680" s="503"/>
    </row>
    <row r="3681" spans="2:2" ht="12" customHeight="1">
      <c r="B3681" s="503"/>
    </row>
    <row r="3682" spans="2:2" ht="12" customHeight="1">
      <c r="B3682" s="503"/>
    </row>
    <row r="3683" spans="2:2" ht="12" customHeight="1">
      <c r="B3683" s="503"/>
    </row>
    <row r="3684" spans="2:2" ht="12" customHeight="1">
      <c r="B3684" s="503"/>
    </row>
    <row r="3685" spans="2:2" ht="12" customHeight="1">
      <c r="B3685" s="503"/>
    </row>
    <row r="3686" spans="2:2" ht="12" customHeight="1">
      <c r="B3686" s="503"/>
    </row>
    <row r="3687" spans="2:2" ht="12" customHeight="1">
      <c r="B3687" s="503"/>
    </row>
    <row r="3688" spans="2:2" ht="12" customHeight="1">
      <c r="B3688" s="503"/>
    </row>
    <row r="3689" spans="2:2" ht="12" customHeight="1">
      <c r="B3689" s="503"/>
    </row>
    <row r="3690" spans="2:2" ht="12" customHeight="1">
      <c r="B3690" s="503"/>
    </row>
    <row r="3691" spans="2:2" ht="12" customHeight="1">
      <c r="B3691" s="503"/>
    </row>
    <row r="3692" spans="2:2" ht="12" customHeight="1">
      <c r="B3692" s="503"/>
    </row>
    <row r="3693" spans="2:2" ht="12" customHeight="1">
      <c r="B3693" s="503"/>
    </row>
    <row r="3694" spans="2:2" ht="12" customHeight="1">
      <c r="B3694" s="503"/>
    </row>
    <row r="3695" spans="2:2" ht="12" customHeight="1">
      <c r="B3695" s="503"/>
    </row>
    <row r="3696" spans="2:2" ht="12" customHeight="1">
      <c r="B3696" s="503"/>
    </row>
    <row r="3697" spans="2:2" ht="12" customHeight="1">
      <c r="B3697" s="503"/>
    </row>
    <row r="3698" spans="2:2" ht="12" customHeight="1">
      <c r="B3698" s="503"/>
    </row>
    <row r="3699" spans="2:2" ht="12" customHeight="1">
      <c r="B3699" s="503"/>
    </row>
    <row r="3700" spans="2:2" ht="12" customHeight="1">
      <c r="B3700" s="503"/>
    </row>
    <row r="3701" spans="2:2" ht="12" customHeight="1">
      <c r="B3701" s="503"/>
    </row>
    <row r="3702" spans="2:2" ht="12" customHeight="1">
      <c r="B3702" s="503"/>
    </row>
    <row r="3703" spans="2:2" ht="12" customHeight="1">
      <c r="B3703" s="503"/>
    </row>
    <row r="3704" spans="2:2" ht="12" customHeight="1">
      <c r="B3704" s="503"/>
    </row>
    <row r="3705" spans="2:2" ht="12" customHeight="1">
      <c r="B3705" s="503"/>
    </row>
    <row r="3706" spans="2:2" ht="12" customHeight="1">
      <c r="B3706" s="503"/>
    </row>
    <row r="3707" spans="2:2" ht="12" customHeight="1">
      <c r="B3707" s="503"/>
    </row>
    <row r="3708" spans="2:2" ht="12" customHeight="1">
      <c r="B3708" s="503"/>
    </row>
    <row r="3709" spans="2:2" ht="12" customHeight="1">
      <c r="B3709" s="503"/>
    </row>
    <row r="3710" spans="2:2" ht="12" customHeight="1">
      <c r="B3710" s="503"/>
    </row>
    <row r="3711" spans="2:2" ht="12" customHeight="1">
      <c r="B3711" s="503"/>
    </row>
    <row r="3712" spans="2:2" ht="12" customHeight="1">
      <c r="B3712" s="503"/>
    </row>
    <row r="3713" spans="2:2" ht="12" customHeight="1">
      <c r="B3713" s="503"/>
    </row>
    <row r="3714" spans="2:2" ht="12" customHeight="1">
      <c r="B3714" s="503"/>
    </row>
    <row r="3715" spans="2:2" ht="12" customHeight="1">
      <c r="B3715" s="503"/>
    </row>
    <row r="3716" spans="2:2" ht="12" customHeight="1">
      <c r="B3716" s="503"/>
    </row>
    <row r="3717" spans="2:2" ht="12" customHeight="1">
      <c r="B3717" s="503"/>
    </row>
    <row r="3718" spans="2:2" ht="12" customHeight="1">
      <c r="B3718" s="503"/>
    </row>
    <row r="3719" spans="2:2" ht="12" customHeight="1">
      <c r="B3719" s="503"/>
    </row>
    <row r="3720" spans="2:2" ht="12" customHeight="1">
      <c r="B3720" s="503"/>
    </row>
    <row r="3721" spans="2:2" ht="12" customHeight="1">
      <c r="B3721" s="503"/>
    </row>
    <row r="3722" spans="2:2" ht="12" customHeight="1">
      <c r="B3722" s="503"/>
    </row>
    <row r="3723" spans="2:2" ht="12" customHeight="1">
      <c r="B3723" s="503"/>
    </row>
    <row r="3724" spans="2:2" ht="12" customHeight="1">
      <c r="B3724" s="503"/>
    </row>
    <row r="3725" spans="2:2" ht="12" customHeight="1">
      <c r="B3725" s="503"/>
    </row>
    <row r="3726" spans="2:2" ht="12" customHeight="1">
      <c r="B3726" s="503"/>
    </row>
    <row r="3727" spans="2:2" ht="12" customHeight="1">
      <c r="B3727" s="503"/>
    </row>
    <row r="3728" spans="2:2" ht="12" customHeight="1">
      <c r="B3728" s="503"/>
    </row>
    <row r="3729" spans="2:2" ht="12" customHeight="1">
      <c r="B3729" s="503"/>
    </row>
    <row r="3730" spans="2:2" ht="12" customHeight="1">
      <c r="B3730" s="503"/>
    </row>
    <row r="3731" spans="2:2" ht="12" customHeight="1">
      <c r="B3731" s="503"/>
    </row>
    <row r="3732" spans="2:2" ht="12" customHeight="1">
      <c r="B3732" s="503"/>
    </row>
    <row r="3733" spans="2:2" ht="12" customHeight="1">
      <c r="B3733" s="503"/>
    </row>
    <row r="3734" spans="2:2" ht="12" customHeight="1">
      <c r="B3734" s="503"/>
    </row>
    <row r="3735" spans="2:2" ht="12" customHeight="1">
      <c r="B3735" s="503"/>
    </row>
    <row r="3736" spans="2:2" ht="12" customHeight="1">
      <c r="B3736" s="503"/>
    </row>
    <row r="3737" spans="2:2" ht="12" customHeight="1">
      <c r="B3737" s="503"/>
    </row>
    <row r="3738" spans="2:2" ht="12" customHeight="1">
      <c r="B3738" s="503"/>
    </row>
    <row r="3739" spans="2:2" ht="12" customHeight="1">
      <c r="B3739" s="503"/>
    </row>
    <row r="3740" spans="2:2" ht="12" customHeight="1">
      <c r="B3740" s="503"/>
    </row>
    <row r="3741" spans="2:2" ht="12" customHeight="1">
      <c r="B3741" s="503"/>
    </row>
    <row r="3742" spans="2:2" ht="12" customHeight="1">
      <c r="B3742" s="503"/>
    </row>
    <row r="3743" spans="2:2" ht="12" customHeight="1">
      <c r="B3743" s="503"/>
    </row>
    <row r="3744" spans="2:2" ht="12" customHeight="1">
      <c r="B3744" s="503"/>
    </row>
    <row r="3745" spans="2:2" ht="12" customHeight="1">
      <c r="B3745" s="503"/>
    </row>
    <row r="3746" spans="2:2" ht="12" customHeight="1">
      <c r="B3746" s="503"/>
    </row>
    <row r="3747" spans="2:2" ht="12" customHeight="1">
      <c r="B3747" s="503"/>
    </row>
    <row r="3748" spans="2:2" ht="12" customHeight="1">
      <c r="B3748" s="503"/>
    </row>
    <row r="3749" spans="2:2" ht="12" customHeight="1">
      <c r="B3749" s="503"/>
    </row>
    <row r="3750" spans="2:2" ht="12" customHeight="1">
      <c r="B3750" s="503"/>
    </row>
    <row r="3751" spans="2:2" ht="12" customHeight="1">
      <c r="B3751" s="503"/>
    </row>
    <row r="3752" spans="2:2" ht="12" customHeight="1">
      <c r="B3752" s="503"/>
    </row>
    <row r="3753" spans="2:2" ht="12" customHeight="1">
      <c r="B3753" s="503"/>
    </row>
    <row r="3754" spans="2:2" ht="12" customHeight="1">
      <c r="B3754" s="503"/>
    </row>
    <row r="3755" spans="2:2" ht="12" customHeight="1">
      <c r="B3755" s="503"/>
    </row>
    <row r="3756" spans="2:2" ht="12" customHeight="1">
      <c r="B3756" s="503"/>
    </row>
    <row r="3757" spans="2:2" ht="12" customHeight="1">
      <c r="B3757" s="503"/>
    </row>
    <row r="3758" spans="2:2" ht="12" customHeight="1">
      <c r="B3758" s="503"/>
    </row>
    <row r="3759" spans="2:2" ht="12" customHeight="1">
      <c r="B3759" s="503"/>
    </row>
    <row r="3760" spans="2:2" ht="12" customHeight="1">
      <c r="B3760" s="503"/>
    </row>
    <row r="3761" spans="2:2" ht="12" customHeight="1">
      <c r="B3761" s="503"/>
    </row>
    <row r="3762" spans="2:2" ht="12" customHeight="1">
      <c r="B3762" s="503"/>
    </row>
    <row r="3763" spans="2:2" ht="12" customHeight="1">
      <c r="B3763" s="503"/>
    </row>
    <row r="3764" spans="2:2" ht="12" customHeight="1">
      <c r="B3764" s="503"/>
    </row>
    <row r="3765" spans="2:2" ht="12" customHeight="1">
      <c r="B3765" s="503"/>
    </row>
    <row r="3766" spans="2:2" ht="12" customHeight="1">
      <c r="B3766" s="503"/>
    </row>
    <row r="3767" spans="2:2" ht="12" customHeight="1">
      <c r="B3767" s="503"/>
    </row>
    <row r="3768" spans="2:2" ht="12" customHeight="1">
      <c r="B3768" s="503"/>
    </row>
    <row r="3769" spans="2:2" ht="12" customHeight="1">
      <c r="B3769" s="503"/>
    </row>
    <row r="3770" spans="2:2" ht="12" customHeight="1">
      <c r="B3770" s="503"/>
    </row>
    <row r="3771" spans="2:2" ht="12" customHeight="1">
      <c r="B3771" s="503"/>
    </row>
    <row r="3772" spans="2:2" ht="12" customHeight="1">
      <c r="B3772" s="503"/>
    </row>
    <row r="3773" spans="2:2" ht="12" customHeight="1">
      <c r="B3773" s="503"/>
    </row>
    <row r="3774" spans="2:2" ht="12" customHeight="1">
      <c r="B3774" s="503"/>
    </row>
    <row r="3775" spans="2:2" ht="12" customHeight="1">
      <c r="B3775" s="503"/>
    </row>
    <row r="3776" spans="2:2" ht="12" customHeight="1">
      <c r="B3776" s="503"/>
    </row>
    <row r="3777" spans="2:2" ht="12" customHeight="1">
      <c r="B3777" s="503"/>
    </row>
    <row r="3778" spans="2:2" ht="12" customHeight="1">
      <c r="B3778" s="503"/>
    </row>
    <row r="3779" spans="2:2" ht="12" customHeight="1">
      <c r="B3779" s="503"/>
    </row>
    <row r="3780" spans="2:2" ht="12" customHeight="1">
      <c r="B3780" s="503"/>
    </row>
    <row r="3781" spans="2:2" ht="12" customHeight="1">
      <c r="B3781" s="503"/>
    </row>
    <row r="3782" spans="2:2" ht="12" customHeight="1">
      <c r="B3782" s="503"/>
    </row>
    <row r="3783" spans="2:2" ht="12" customHeight="1">
      <c r="B3783" s="503"/>
    </row>
    <row r="3784" spans="2:2" ht="12" customHeight="1">
      <c r="B3784" s="503"/>
    </row>
    <row r="3785" spans="2:2" ht="12" customHeight="1">
      <c r="B3785" s="503"/>
    </row>
    <row r="3786" spans="2:2" ht="12" customHeight="1">
      <c r="B3786" s="503"/>
    </row>
    <row r="3787" spans="2:2" ht="12" customHeight="1">
      <c r="B3787" s="503"/>
    </row>
    <row r="3788" spans="2:2" ht="12" customHeight="1">
      <c r="B3788" s="503"/>
    </row>
    <row r="3789" spans="2:2" ht="12" customHeight="1">
      <c r="B3789" s="503"/>
    </row>
    <row r="3790" spans="2:2" ht="12" customHeight="1">
      <c r="B3790" s="503"/>
    </row>
    <row r="3791" spans="2:2" ht="12" customHeight="1">
      <c r="B3791" s="503"/>
    </row>
    <row r="3792" spans="2:2" ht="12" customHeight="1">
      <c r="B3792" s="503"/>
    </row>
    <row r="3793" spans="2:2" ht="12" customHeight="1">
      <c r="B3793" s="503"/>
    </row>
    <row r="3794" spans="2:2" ht="12" customHeight="1">
      <c r="B3794" s="503"/>
    </row>
    <row r="3795" spans="2:2" ht="12" customHeight="1">
      <c r="B3795" s="503"/>
    </row>
    <row r="3796" spans="2:2" ht="12" customHeight="1">
      <c r="B3796" s="503"/>
    </row>
    <row r="3797" spans="2:2" ht="12" customHeight="1">
      <c r="B3797" s="503"/>
    </row>
    <row r="3798" spans="2:2" ht="12" customHeight="1">
      <c r="B3798" s="503"/>
    </row>
    <row r="3799" spans="2:2" ht="12" customHeight="1">
      <c r="B3799" s="503"/>
    </row>
    <row r="3800" spans="2:2" ht="12" customHeight="1">
      <c r="B3800" s="503"/>
    </row>
    <row r="3801" spans="2:2" ht="12" customHeight="1">
      <c r="B3801" s="503"/>
    </row>
    <row r="3802" spans="2:2" ht="12" customHeight="1">
      <c r="B3802" s="503"/>
    </row>
    <row r="3803" spans="2:2" ht="12" customHeight="1">
      <c r="B3803" s="503"/>
    </row>
    <row r="3804" spans="2:2" ht="12" customHeight="1">
      <c r="B3804" s="503"/>
    </row>
    <row r="3805" spans="2:2" ht="12" customHeight="1">
      <c r="B3805" s="503"/>
    </row>
    <row r="3806" spans="2:2" ht="12" customHeight="1">
      <c r="B3806" s="503"/>
    </row>
    <row r="3807" spans="2:2" ht="12" customHeight="1">
      <c r="B3807" s="503"/>
    </row>
    <row r="3808" spans="2:2" ht="12" customHeight="1">
      <c r="B3808" s="503"/>
    </row>
    <row r="3809" spans="2:2" ht="12" customHeight="1">
      <c r="B3809" s="503"/>
    </row>
    <row r="3810" spans="2:2" ht="12" customHeight="1">
      <c r="B3810" s="503"/>
    </row>
    <row r="3811" spans="2:2" ht="12" customHeight="1">
      <c r="B3811" s="503"/>
    </row>
    <row r="3812" spans="2:2" ht="12" customHeight="1">
      <c r="B3812" s="503"/>
    </row>
    <row r="3813" spans="2:2" ht="12" customHeight="1">
      <c r="B3813" s="503"/>
    </row>
    <row r="3814" spans="2:2" ht="12" customHeight="1">
      <c r="B3814" s="503"/>
    </row>
    <row r="3815" spans="2:2" ht="12" customHeight="1">
      <c r="B3815" s="503"/>
    </row>
    <row r="3816" spans="2:2" ht="12" customHeight="1">
      <c r="B3816" s="503"/>
    </row>
    <row r="3817" spans="2:2" ht="12" customHeight="1">
      <c r="B3817" s="503"/>
    </row>
    <row r="3818" spans="2:2" ht="12" customHeight="1">
      <c r="B3818" s="503"/>
    </row>
    <row r="3819" spans="2:2" ht="12" customHeight="1">
      <c r="B3819" s="503"/>
    </row>
    <row r="3820" spans="2:2" ht="12" customHeight="1">
      <c r="B3820" s="503"/>
    </row>
    <row r="3821" spans="2:2" ht="12" customHeight="1">
      <c r="B3821" s="503"/>
    </row>
    <row r="3822" spans="2:2" ht="12" customHeight="1">
      <c r="B3822" s="503"/>
    </row>
    <row r="3823" spans="2:2" ht="12" customHeight="1">
      <c r="B3823" s="503"/>
    </row>
    <row r="3824" spans="2:2" ht="12" customHeight="1">
      <c r="B3824" s="503"/>
    </row>
    <row r="3825" spans="2:2" ht="12" customHeight="1">
      <c r="B3825" s="503"/>
    </row>
    <row r="3826" spans="2:2" ht="12" customHeight="1">
      <c r="B3826" s="503"/>
    </row>
    <row r="3827" spans="2:2" ht="12" customHeight="1">
      <c r="B3827" s="503"/>
    </row>
    <row r="3828" spans="2:2" ht="12" customHeight="1">
      <c r="B3828" s="503"/>
    </row>
    <row r="3829" spans="2:2" ht="12" customHeight="1">
      <c r="B3829" s="503"/>
    </row>
    <row r="3830" spans="2:2" ht="12" customHeight="1">
      <c r="B3830" s="503"/>
    </row>
    <row r="3831" spans="2:2" ht="12" customHeight="1">
      <c r="B3831" s="503"/>
    </row>
    <row r="3832" spans="2:2" ht="12" customHeight="1">
      <c r="B3832" s="503"/>
    </row>
    <row r="3833" spans="2:2" ht="12" customHeight="1">
      <c r="B3833" s="503"/>
    </row>
    <row r="3834" spans="2:2" ht="12" customHeight="1">
      <c r="B3834" s="503"/>
    </row>
    <row r="3835" spans="2:2" ht="12" customHeight="1">
      <c r="B3835" s="503"/>
    </row>
    <row r="3836" spans="2:2" ht="12" customHeight="1">
      <c r="B3836" s="503"/>
    </row>
    <row r="3837" spans="2:2" ht="12" customHeight="1">
      <c r="B3837" s="503"/>
    </row>
    <row r="3838" spans="2:2" ht="12" customHeight="1">
      <c r="B3838" s="503"/>
    </row>
    <row r="3839" spans="2:2" ht="12" customHeight="1">
      <c r="B3839" s="503"/>
    </row>
    <row r="3840" spans="2:2" ht="12" customHeight="1">
      <c r="B3840" s="503"/>
    </row>
    <row r="3841" spans="2:2" ht="12" customHeight="1">
      <c r="B3841" s="503"/>
    </row>
    <row r="3842" spans="2:2" ht="12" customHeight="1">
      <c r="B3842" s="503"/>
    </row>
    <row r="3843" spans="2:2" ht="12" customHeight="1">
      <c r="B3843" s="503"/>
    </row>
    <row r="3844" spans="2:2" ht="12" customHeight="1">
      <c r="B3844" s="503"/>
    </row>
    <row r="3845" spans="2:2" ht="12" customHeight="1">
      <c r="B3845" s="503"/>
    </row>
    <row r="3846" spans="2:2" ht="12" customHeight="1">
      <c r="B3846" s="503"/>
    </row>
    <row r="3847" spans="2:2" ht="12" customHeight="1">
      <c r="B3847" s="503"/>
    </row>
    <row r="3848" spans="2:2" ht="12" customHeight="1">
      <c r="B3848" s="503"/>
    </row>
    <row r="3849" spans="2:2" ht="12" customHeight="1">
      <c r="B3849" s="503"/>
    </row>
    <row r="3850" spans="2:2" ht="12" customHeight="1">
      <c r="B3850" s="503"/>
    </row>
    <row r="3851" spans="2:2" ht="12" customHeight="1">
      <c r="B3851" s="503"/>
    </row>
    <row r="3852" spans="2:2" ht="12" customHeight="1">
      <c r="B3852" s="503"/>
    </row>
    <row r="3853" spans="2:2" ht="12" customHeight="1">
      <c r="B3853" s="503"/>
    </row>
    <row r="3854" spans="2:2" ht="12" customHeight="1">
      <c r="B3854" s="503"/>
    </row>
    <row r="3855" spans="2:2" ht="12" customHeight="1">
      <c r="B3855" s="503"/>
    </row>
    <row r="3856" spans="2:2" ht="12" customHeight="1">
      <c r="B3856" s="503"/>
    </row>
    <row r="3857" spans="2:2" ht="12" customHeight="1">
      <c r="B3857" s="503"/>
    </row>
    <row r="3858" spans="2:2" ht="12" customHeight="1">
      <c r="B3858" s="503"/>
    </row>
    <row r="3859" spans="2:2" ht="12" customHeight="1">
      <c r="B3859" s="503"/>
    </row>
    <row r="3860" spans="2:2" ht="12" customHeight="1">
      <c r="B3860" s="503"/>
    </row>
    <row r="3861" spans="2:2" ht="12" customHeight="1">
      <c r="B3861" s="503"/>
    </row>
    <row r="3862" spans="2:2" ht="12" customHeight="1">
      <c r="B3862" s="503"/>
    </row>
    <row r="3863" spans="2:2" ht="12" customHeight="1">
      <c r="B3863" s="503"/>
    </row>
    <row r="3864" spans="2:2" ht="12" customHeight="1">
      <c r="B3864" s="503"/>
    </row>
    <row r="3865" spans="2:2" ht="12" customHeight="1">
      <c r="B3865" s="503"/>
    </row>
    <row r="3866" spans="2:2" ht="12" customHeight="1">
      <c r="B3866" s="503"/>
    </row>
    <row r="3867" spans="2:2" ht="12" customHeight="1">
      <c r="B3867" s="503"/>
    </row>
    <row r="3868" spans="2:2" ht="12" customHeight="1">
      <c r="B3868" s="503"/>
    </row>
    <row r="3869" spans="2:2" ht="12" customHeight="1">
      <c r="B3869" s="503"/>
    </row>
    <row r="3870" spans="2:2" ht="12" customHeight="1">
      <c r="B3870" s="503"/>
    </row>
    <row r="3871" spans="2:2" ht="12" customHeight="1">
      <c r="B3871" s="503"/>
    </row>
    <row r="3872" spans="2:2" ht="12" customHeight="1">
      <c r="B3872" s="503"/>
    </row>
    <row r="3873" spans="2:2" ht="12" customHeight="1">
      <c r="B3873" s="503"/>
    </row>
    <row r="3874" spans="2:2" ht="12" customHeight="1">
      <c r="B3874" s="503"/>
    </row>
    <row r="3875" spans="2:2" ht="12" customHeight="1">
      <c r="B3875" s="503"/>
    </row>
    <row r="3876" spans="2:2" ht="12" customHeight="1">
      <c r="B3876" s="503"/>
    </row>
    <row r="3877" spans="2:2" ht="12" customHeight="1">
      <c r="B3877" s="503"/>
    </row>
    <row r="3878" spans="2:2" ht="12" customHeight="1">
      <c r="B3878" s="503"/>
    </row>
    <row r="3879" spans="2:2" ht="12" customHeight="1">
      <c r="B3879" s="503"/>
    </row>
    <row r="3880" spans="2:2" ht="12" customHeight="1">
      <c r="B3880" s="503"/>
    </row>
    <row r="3881" spans="2:2" ht="12" customHeight="1">
      <c r="B3881" s="503"/>
    </row>
    <row r="3882" spans="2:2" ht="12" customHeight="1">
      <c r="B3882" s="503"/>
    </row>
    <row r="3883" spans="2:2" ht="12" customHeight="1">
      <c r="B3883" s="503"/>
    </row>
    <row r="3884" spans="2:2" ht="12" customHeight="1">
      <c r="B3884" s="503"/>
    </row>
    <row r="3885" spans="2:2" ht="12" customHeight="1">
      <c r="B3885" s="503"/>
    </row>
    <row r="3886" spans="2:2" ht="12" customHeight="1">
      <c r="B3886" s="503"/>
    </row>
    <row r="3887" spans="2:2" ht="12" customHeight="1">
      <c r="B3887" s="503"/>
    </row>
    <row r="3888" spans="2:2" ht="12" customHeight="1">
      <c r="B3888" s="503"/>
    </row>
    <row r="3889" spans="2:2" ht="12" customHeight="1">
      <c r="B3889" s="503"/>
    </row>
    <row r="3890" spans="2:2" ht="12" customHeight="1">
      <c r="B3890" s="503"/>
    </row>
    <row r="3891" spans="2:2" ht="12" customHeight="1">
      <c r="B3891" s="503"/>
    </row>
    <row r="3892" spans="2:2" ht="12" customHeight="1">
      <c r="B3892" s="503"/>
    </row>
    <row r="3893" spans="2:2" ht="12" customHeight="1">
      <c r="B3893" s="503"/>
    </row>
    <row r="3894" spans="2:2" ht="12" customHeight="1">
      <c r="B3894" s="503"/>
    </row>
    <row r="3895" spans="2:2" ht="12" customHeight="1">
      <c r="B3895" s="503"/>
    </row>
    <row r="3896" spans="2:2" ht="12" customHeight="1">
      <c r="B3896" s="503"/>
    </row>
    <row r="3897" spans="2:2" ht="12" customHeight="1">
      <c r="B3897" s="503"/>
    </row>
    <row r="3898" spans="2:2" ht="12" customHeight="1">
      <c r="B3898" s="503"/>
    </row>
    <row r="3899" spans="2:2" ht="12" customHeight="1">
      <c r="B3899" s="503"/>
    </row>
    <row r="3900" spans="2:2" ht="12" customHeight="1">
      <c r="B3900" s="503"/>
    </row>
    <row r="3901" spans="2:2" ht="12" customHeight="1">
      <c r="B3901" s="503"/>
    </row>
    <row r="3902" spans="2:2" ht="12" customHeight="1">
      <c r="B3902" s="503"/>
    </row>
    <row r="3903" spans="2:2" ht="12" customHeight="1">
      <c r="B3903" s="503"/>
    </row>
    <row r="3904" spans="2:2" ht="12" customHeight="1">
      <c r="B3904" s="503"/>
    </row>
    <row r="3905" spans="2:2" ht="12" customHeight="1">
      <c r="B3905" s="503"/>
    </row>
    <row r="3906" spans="2:2" ht="12" customHeight="1">
      <c r="B3906" s="503"/>
    </row>
    <row r="3907" spans="2:2" ht="12" customHeight="1">
      <c r="B3907" s="503"/>
    </row>
    <row r="3908" spans="2:2" ht="12" customHeight="1">
      <c r="B3908" s="503"/>
    </row>
    <row r="3909" spans="2:2" ht="12" customHeight="1">
      <c r="B3909" s="503"/>
    </row>
    <row r="3910" spans="2:2" ht="12" customHeight="1">
      <c r="B3910" s="503"/>
    </row>
    <row r="3911" spans="2:2" ht="12" customHeight="1">
      <c r="B3911" s="503"/>
    </row>
    <row r="3912" spans="2:2" ht="12" customHeight="1">
      <c r="B3912" s="503"/>
    </row>
    <row r="3913" spans="2:2" ht="12" customHeight="1">
      <c r="B3913" s="503"/>
    </row>
    <row r="3914" spans="2:2" ht="12" customHeight="1">
      <c r="B3914" s="503"/>
    </row>
    <row r="3915" spans="2:2" ht="12" customHeight="1">
      <c r="B3915" s="503"/>
    </row>
    <row r="3916" spans="2:2" ht="12" customHeight="1">
      <c r="B3916" s="503"/>
    </row>
    <row r="3917" spans="2:2" ht="12" customHeight="1">
      <c r="B3917" s="503"/>
    </row>
    <row r="3918" spans="2:2" ht="12" customHeight="1">
      <c r="B3918" s="503"/>
    </row>
    <row r="3919" spans="2:2" ht="12" customHeight="1">
      <c r="B3919" s="503"/>
    </row>
    <row r="3920" spans="2:2" ht="12" customHeight="1">
      <c r="B3920" s="503"/>
    </row>
    <row r="3921" spans="2:2" ht="12" customHeight="1">
      <c r="B3921" s="503"/>
    </row>
    <row r="3922" spans="2:2" ht="12" customHeight="1">
      <c r="B3922" s="503"/>
    </row>
    <row r="3923" spans="2:2" ht="12" customHeight="1">
      <c r="B3923" s="503"/>
    </row>
    <row r="3924" spans="2:2" ht="12" customHeight="1">
      <c r="B3924" s="503"/>
    </row>
    <row r="3925" spans="2:2" ht="12" customHeight="1">
      <c r="B3925" s="503"/>
    </row>
    <row r="3926" spans="2:2" ht="12" customHeight="1">
      <c r="B3926" s="503"/>
    </row>
    <row r="3927" spans="2:2" ht="12" customHeight="1">
      <c r="B3927" s="503"/>
    </row>
    <row r="3928" spans="2:2" ht="12" customHeight="1">
      <c r="B3928" s="503"/>
    </row>
    <row r="3929" spans="2:2" ht="12" customHeight="1">
      <c r="B3929" s="503"/>
    </row>
    <row r="3930" spans="2:2" ht="12" customHeight="1">
      <c r="B3930" s="503"/>
    </row>
    <row r="3931" spans="2:2" ht="12" customHeight="1">
      <c r="B3931" s="503"/>
    </row>
    <row r="3932" spans="2:2" ht="12" customHeight="1">
      <c r="B3932" s="503"/>
    </row>
    <row r="3933" spans="2:2" ht="12" customHeight="1">
      <c r="B3933" s="503"/>
    </row>
    <row r="3934" spans="2:2" ht="12" customHeight="1">
      <c r="B3934" s="503"/>
    </row>
    <row r="3935" spans="2:2" ht="12" customHeight="1">
      <c r="B3935" s="503"/>
    </row>
    <row r="3936" spans="2:2" ht="12" customHeight="1">
      <c r="B3936" s="503"/>
    </row>
    <row r="3937" spans="2:2" ht="12" customHeight="1">
      <c r="B3937" s="503"/>
    </row>
    <row r="3938" spans="2:2" ht="12" customHeight="1">
      <c r="B3938" s="503"/>
    </row>
    <row r="3939" spans="2:2" ht="12" customHeight="1">
      <c r="B3939" s="503"/>
    </row>
    <row r="3940" spans="2:2" ht="12" customHeight="1">
      <c r="B3940" s="503"/>
    </row>
    <row r="3941" spans="2:2" ht="12" customHeight="1">
      <c r="B3941" s="503"/>
    </row>
    <row r="3942" spans="2:2" ht="12" customHeight="1">
      <c r="B3942" s="503"/>
    </row>
    <row r="3943" spans="2:2" ht="12" customHeight="1">
      <c r="B3943" s="503"/>
    </row>
    <row r="3944" spans="2:2" ht="12" customHeight="1">
      <c r="B3944" s="503"/>
    </row>
    <row r="3945" spans="2:2" ht="12" customHeight="1">
      <c r="B3945" s="503"/>
    </row>
    <row r="3946" spans="2:2" ht="12" customHeight="1">
      <c r="B3946" s="503"/>
    </row>
    <row r="3947" spans="2:2" ht="12" customHeight="1">
      <c r="B3947" s="503"/>
    </row>
    <row r="3948" spans="2:2" ht="12" customHeight="1">
      <c r="B3948" s="503"/>
    </row>
    <row r="3949" spans="2:2" ht="12" customHeight="1">
      <c r="B3949" s="503"/>
    </row>
    <row r="3950" spans="2:2" ht="12" customHeight="1">
      <c r="B3950" s="503"/>
    </row>
    <row r="3951" spans="2:2" ht="12" customHeight="1">
      <c r="B3951" s="503"/>
    </row>
    <row r="3952" spans="2:2" ht="12" customHeight="1">
      <c r="B3952" s="503"/>
    </row>
    <row r="3953" spans="2:2" ht="12" customHeight="1">
      <c r="B3953" s="503"/>
    </row>
    <row r="3954" spans="2:2" ht="12" customHeight="1">
      <c r="B3954" s="503"/>
    </row>
    <row r="3955" spans="2:2" ht="12" customHeight="1">
      <c r="B3955" s="503"/>
    </row>
    <row r="3956" spans="2:2" ht="12" customHeight="1">
      <c r="B3956" s="503"/>
    </row>
    <row r="3957" spans="2:2" ht="12" customHeight="1">
      <c r="B3957" s="503"/>
    </row>
    <row r="3958" spans="2:2" ht="12" customHeight="1">
      <c r="B3958" s="503"/>
    </row>
    <row r="3959" spans="2:2" ht="12" customHeight="1">
      <c r="B3959" s="503"/>
    </row>
    <row r="3960" spans="2:2" ht="12" customHeight="1">
      <c r="B3960" s="503"/>
    </row>
    <row r="3961" spans="2:2" ht="12" customHeight="1">
      <c r="B3961" s="503"/>
    </row>
    <row r="3962" spans="2:2" ht="12" customHeight="1">
      <c r="B3962" s="503"/>
    </row>
    <row r="3963" spans="2:2" ht="12" customHeight="1">
      <c r="B3963" s="503"/>
    </row>
    <row r="3964" spans="2:2" ht="12" customHeight="1">
      <c r="B3964" s="503"/>
    </row>
    <row r="3965" spans="2:2" ht="12" customHeight="1">
      <c r="B3965" s="503"/>
    </row>
    <row r="3966" spans="2:2" ht="12" customHeight="1">
      <c r="B3966" s="503"/>
    </row>
    <row r="3967" spans="2:2" ht="12" customHeight="1">
      <c r="B3967" s="503"/>
    </row>
    <row r="3968" spans="2:2" ht="12" customHeight="1">
      <c r="B3968" s="503"/>
    </row>
    <row r="3969" spans="2:2" ht="12" customHeight="1">
      <c r="B3969" s="503"/>
    </row>
    <row r="3970" spans="2:2" ht="12" customHeight="1">
      <c r="B3970" s="503"/>
    </row>
    <row r="3971" spans="2:2" ht="12" customHeight="1">
      <c r="B3971" s="503"/>
    </row>
    <row r="3972" spans="2:2" ht="12" customHeight="1">
      <c r="B3972" s="503"/>
    </row>
    <row r="3973" spans="2:2" ht="12" customHeight="1">
      <c r="B3973" s="503"/>
    </row>
    <row r="3974" spans="2:2" ht="12" customHeight="1">
      <c r="B3974" s="503"/>
    </row>
    <row r="3975" spans="2:2" ht="12" customHeight="1">
      <c r="B3975" s="503"/>
    </row>
    <row r="3976" spans="2:2" ht="12" customHeight="1">
      <c r="B3976" s="503"/>
    </row>
    <row r="3977" spans="2:2" ht="12" customHeight="1">
      <c r="B3977" s="503"/>
    </row>
    <row r="3978" spans="2:2" ht="12" customHeight="1">
      <c r="B3978" s="503"/>
    </row>
    <row r="3979" spans="2:2" ht="12" customHeight="1">
      <c r="B3979" s="503"/>
    </row>
    <row r="3980" spans="2:2" ht="12" customHeight="1">
      <c r="B3980" s="503"/>
    </row>
    <row r="3981" spans="2:2" ht="12" customHeight="1">
      <c r="B3981" s="503"/>
    </row>
    <row r="3982" spans="2:2" ht="12" customHeight="1">
      <c r="B3982" s="503"/>
    </row>
    <row r="3983" spans="2:2" ht="12" customHeight="1">
      <c r="B3983" s="503"/>
    </row>
    <row r="3984" spans="2:2" ht="12" customHeight="1">
      <c r="B3984" s="503"/>
    </row>
    <row r="3985" spans="2:2" ht="12" customHeight="1">
      <c r="B3985" s="503"/>
    </row>
    <row r="3986" spans="2:2" ht="12" customHeight="1">
      <c r="B3986" s="503"/>
    </row>
    <row r="3987" spans="2:2" ht="12" customHeight="1">
      <c r="B3987" s="503"/>
    </row>
    <row r="3988" spans="2:2" ht="12" customHeight="1">
      <c r="B3988" s="503"/>
    </row>
    <row r="3989" spans="2:2" ht="12" customHeight="1">
      <c r="B3989" s="503"/>
    </row>
    <row r="3990" spans="2:2" ht="12" customHeight="1">
      <c r="B3990" s="503"/>
    </row>
    <row r="3991" spans="2:2" ht="12" customHeight="1">
      <c r="B3991" s="503"/>
    </row>
    <row r="3992" spans="2:2" ht="12" customHeight="1">
      <c r="B3992" s="503"/>
    </row>
    <row r="3993" spans="2:2" ht="12" customHeight="1">
      <c r="B3993" s="503"/>
    </row>
    <row r="3994" spans="2:2" ht="12" customHeight="1">
      <c r="B3994" s="503"/>
    </row>
    <row r="3995" spans="2:2" ht="12" customHeight="1">
      <c r="B3995" s="503"/>
    </row>
    <row r="3996" spans="2:2" ht="12" customHeight="1">
      <c r="B3996" s="503"/>
    </row>
    <row r="3997" spans="2:2" ht="12" customHeight="1">
      <c r="B3997" s="503"/>
    </row>
    <row r="3998" spans="2:2" ht="12" customHeight="1">
      <c r="B3998" s="503"/>
    </row>
    <row r="3999" spans="2:2" ht="12" customHeight="1">
      <c r="B3999" s="503"/>
    </row>
    <row r="4000" spans="2:2" ht="12" customHeight="1">
      <c r="B4000" s="503"/>
    </row>
    <row r="4001" spans="2:2" ht="12" customHeight="1">
      <c r="B4001" s="503"/>
    </row>
    <row r="4002" spans="2:2" ht="12" customHeight="1">
      <c r="B4002" s="503"/>
    </row>
    <row r="4003" spans="2:2" ht="12" customHeight="1">
      <c r="B4003" s="503"/>
    </row>
    <row r="4004" spans="2:2" ht="12" customHeight="1">
      <c r="B4004" s="503"/>
    </row>
    <row r="4005" spans="2:2" ht="12" customHeight="1">
      <c r="B4005" s="503"/>
    </row>
    <row r="4006" spans="2:2" ht="12" customHeight="1">
      <c r="B4006" s="503"/>
    </row>
    <row r="4007" spans="2:2" ht="12" customHeight="1">
      <c r="B4007" s="503"/>
    </row>
    <row r="4008" spans="2:2" ht="12" customHeight="1">
      <c r="B4008" s="503"/>
    </row>
    <row r="4009" spans="2:2" ht="12" customHeight="1">
      <c r="B4009" s="503"/>
    </row>
    <row r="4010" spans="2:2" ht="12" customHeight="1">
      <c r="B4010" s="503"/>
    </row>
    <row r="4011" spans="2:2" ht="12" customHeight="1">
      <c r="B4011" s="503"/>
    </row>
    <row r="4012" spans="2:2" ht="12" customHeight="1">
      <c r="B4012" s="503"/>
    </row>
    <row r="4013" spans="2:2" ht="12" customHeight="1">
      <c r="B4013" s="503"/>
    </row>
    <row r="4014" spans="2:2" ht="12" customHeight="1">
      <c r="B4014" s="503"/>
    </row>
    <row r="4015" spans="2:2" ht="12" customHeight="1">
      <c r="B4015" s="503"/>
    </row>
    <row r="4016" spans="2:2" ht="12" customHeight="1">
      <c r="B4016" s="503"/>
    </row>
    <row r="4017" spans="2:2" ht="12" customHeight="1">
      <c r="B4017" s="503"/>
    </row>
    <row r="4018" spans="2:2" ht="12" customHeight="1">
      <c r="B4018" s="503"/>
    </row>
    <row r="4019" spans="2:2" ht="12" customHeight="1">
      <c r="B4019" s="503"/>
    </row>
    <row r="4020" spans="2:2" ht="12" customHeight="1">
      <c r="B4020" s="503"/>
    </row>
    <row r="4021" spans="2:2" ht="12" customHeight="1">
      <c r="B4021" s="503"/>
    </row>
    <row r="4022" spans="2:2" ht="12" customHeight="1">
      <c r="B4022" s="503"/>
    </row>
    <row r="4023" spans="2:2" ht="12" customHeight="1">
      <c r="B4023" s="503"/>
    </row>
    <row r="4024" spans="2:2" ht="12" customHeight="1">
      <c r="B4024" s="503"/>
    </row>
    <row r="4025" spans="2:2" ht="12" customHeight="1">
      <c r="B4025" s="503"/>
    </row>
    <row r="4026" spans="2:2" ht="12" customHeight="1">
      <c r="B4026" s="503"/>
    </row>
    <row r="4027" spans="2:2" ht="12" customHeight="1">
      <c r="B4027" s="503"/>
    </row>
    <row r="4028" spans="2:2" ht="12" customHeight="1">
      <c r="B4028" s="503"/>
    </row>
    <row r="4029" spans="2:2" ht="12" customHeight="1">
      <c r="B4029" s="503"/>
    </row>
    <row r="4030" spans="2:2" ht="12" customHeight="1">
      <c r="B4030" s="503"/>
    </row>
    <row r="4031" spans="2:2" ht="12" customHeight="1">
      <c r="B4031" s="503"/>
    </row>
    <row r="4032" spans="2:2" ht="12" customHeight="1">
      <c r="B4032" s="503"/>
    </row>
    <row r="4033" spans="2:2" ht="12" customHeight="1">
      <c r="B4033" s="503"/>
    </row>
    <row r="4034" spans="2:2" ht="12" customHeight="1">
      <c r="B4034" s="503"/>
    </row>
    <row r="4035" spans="2:2" ht="12" customHeight="1">
      <c r="B4035" s="503"/>
    </row>
    <row r="4036" spans="2:2" ht="12" customHeight="1">
      <c r="B4036" s="503"/>
    </row>
    <row r="4037" spans="2:2" ht="12" customHeight="1">
      <c r="B4037" s="503"/>
    </row>
    <row r="4038" spans="2:2" ht="12" customHeight="1">
      <c r="B4038" s="503"/>
    </row>
    <row r="4039" spans="2:2" ht="12" customHeight="1">
      <c r="B4039" s="503"/>
    </row>
    <row r="4040" spans="2:2" ht="12" customHeight="1">
      <c r="B4040" s="503"/>
    </row>
    <row r="4041" spans="2:2" ht="12" customHeight="1">
      <c r="B4041" s="503"/>
    </row>
    <row r="4042" spans="2:2" ht="12" customHeight="1">
      <c r="B4042" s="503"/>
    </row>
    <row r="4043" spans="2:2" ht="12" customHeight="1">
      <c r="B4043" s="503"/>
    </row>
    <row r="4044" spans="2:2" ht="12" customHeight="1">
      <c r="B4044" s="503"/>
    </row>
    <row r="4045" spans="2:2" ht="12" customHeight="1">
      <c r="B4045" s="503"/>
    </row>
    <row r="4046" spans="2:2" ht="12" customHeight="1">
      <c r="B4046" s="503"/>
    </row>
    <row r="4047" spans="2:2" ht="12" customHeight="1">
      <c r="B4047" s="503"/>
    </row>
    <row r="4048" spans="2:2" ht="12" customHeight="1">
      <c r="B4048" s="503"/>
    </row>
    <row r="4049" spans="2:2" ht="12" customHeight="1">
      <c r="B4049" s="503"/>
    </row>
    <row r="4050" spans="2:2" ht="12" customHeight="1">
      <c r="B4050" s="503"/>
    </row>
    <row r="4051" spans="2:2" ht="12" customHeight="1">
      <c r="B4051" s="503"/>
    </row>
    <row r="4052" spans="2:2" ht="12" customHeight="1">
      <c r="B4052" s="503"/>
    </row>
    <row r="4053" spans="2:2" ht="12" customHeight="1">
      <c r="B4053" s="503"/>
    </row>
    <row r="4054" spans="2:2" ht="12" customHeight="1">
      <c r="B4054" s="503"/>
    </row>
    <row r="4055" spans="2:2" ht="12" customHeight="1">
      <c r="B4055" s="503"/>
    </row>
    <row r="4056" spans="2:2" ht="12" customHeight="1">
      <c r="B4056" s="503"/>
    </row>
    <row r="4057" spans="2:2" ht="12" customHeight="1">
      <c r="B4057" s="503"/>
    </row>
    <row r="4058" spans="2:2" ht="12" customHeight="1">
      <c r="B4058" s="503"/>
    </row>
    <row r="4059" spans="2:2" ht="12" customHeight="1">
      <c r="B4059" s="503"/>
    </row>
    <row r="4060" spans="2:2" ht="12" customHeight="1">
      <c r="B4060" s="503"/>
    </row>
    <row r="4061" spans="2:2" ht="12" customHeight="1">
      <c r="B4061" s="503"/>
    </row>
    <row r="4062" spans="2:2" ht="12" customHeight="1">
      <c r="B4062" s="503"/>
    </row>
    <row r="4063" spans="2:2" ht="12" customHeight="1">
      <c r="B4063" s="503"/>
    </row>
    <row r="4064" spans="2:2" ht="12" customHeight="1">
      <c r="B4064" s="503"/>
    </row>
    <row r="4065" spans="2:2" ht="12" customHeight="1">
      <c r="B4065" s="503"/>
    </row>
    <row r="4066" spans="2:2" ht="12" customHeight="1">
      <c r="B4066" s="503"/>
    </row>
    <row r="4067" spans="2:2" ht="12" customHeight="1">
      <c r="B4067" s="503"/>
    </row>
    <row r="4068" spans="2:2" ht="12" customHeight="1">
      <c r="B4068" s="503"/>
    </row>
    <row r="4069" spans="2:2" ht="12" customHeight="1">
      <c r="B4069" s="503"/>
    </row>
    <row r="4070" spans="2:2" ht="12" customHeight="1">
      <c r="B4070" s="503"/>
    </row>
    <row r="4071" spans="2:2" ht="12" customHeight="1">
      <c r="B4071" s="503"/>
    </row>
    <row r="4072" spans="2:2" ht="12" customHeight="1">
      <c r="B4072" s="503"/>
    </row>
    <row r="4073" spans="2:2" ht="12" customHeight="1">
      <c r="B4073" s="503"/>
    </row>
    <row r="4074" spans="2:2" ht="12" customHeight="1">
      <c r="B4074" s="503"/>
    </row>
    <row r="4075" spans="2:2" ht="12" customHeight="1">
      <c r="B4075" s="503"/>
    </row>
    <row r="4076" spans="2:2" ht="12" customHeight="1">
      <c r="B4076" s="503"/>
    </row>
    <row r="4077" spans="2:2" ht="12" customHeight="1">
      <c r="B4077" s="503"/>
    </row>
    <row r="4078" spans="2:2" ht="12" customHeight="1">
      <c r="B4078" s="503"/>
    </row>
    <row r="4079" spans="2:2" ht="12" customHeight="1">
      <c r="B4079" s="503"/>
    </row>
    <row r="4080" spans="2:2" ht="12" customHeight="1">
      <c r="B4080" s="503"/>
    </row>
    <row r="4081" spans="2:2" ht="12" customHeight="1">
      <c r="B4081" s="503"/>
    </row>
    <row r="4082" spans="2:2" ht="12" customHeight="1">
      <c r="B4082" s="503"/>
    </row>
    <row r="4083" spans="2:2" ht="12" customHeight="1">
      <c r="B4083" s="503"/>
    </row>
    <row r="4084" spans="2:2" ht="12" customHeight="1">
      <c r="B4084" s="503"/>
    </row>
    <row r="4085" spans="2:2" ht="12" customHeight="1">
      <c r="B4085" s="503"/>
    </row>
    <row r="4086" spans="2:2" ht="12" customHeight="1">
      <c r="B4086" s="503"/>
    </row>
    <row r="4087" spans="2:2" ht="12" customHeight="1">
      <c r="B4087" s="503"/>
    </row>
    <row r="4088" spans="2:2" ht="12" customHeight="1">
      <c r="B4088" s="503"/>
    </row>
    <row r="4089" spans="2:2" ht="12" customHeight="1">
      <c r="B4089" s="503"/>
    </row>
    <row r="4090" spans="2:2" ht="12" customHeight="1">
      <c r="B4090" s="503"/>
    </row>
    <row r="4091" spans="2:2" ht="12" customHeight="1">
      <c r="B4091" s="503"/>
    </row>
    <row r="4092" spans="2:2" ht="12" customHeight="1">
      <c r="B4092" s="503"/>
    </row>
    <row r="4093" spans="2:2" ht="12" customHeight="1">
      <c r="B4093" s="503"/>
    </row>
    <row r="4094" spans="2:2" ht="12" customHeight="1">
      <c r="B4094" s="503"/>
    </row>
    <row r="4095" spans="2:2" ht="12" customHeight="1">
      <c r="B4095" s="503"/>
    </row>
    <row r="4096" spans="2:2" ht="12" customHeight="1">
      <c r="B4096" s="503"/>
    </row>
    <row r="4097" spans="2:2" ht="12" customHeight="1">
      <c r="B4097" s="503"/>
    </row>
    <row r="4098" spans="2:2" ht="12" customHeight="1">
      <c r="B4098" s="503"/>
    </row>
    <row r="4099" spans="2:2" ht="12" customHeight="1">
      <c r="B4099" s="503"/>
    </row>
    <row r="4100" spans="2:2" ht="12" customHeight="1">
      <c r="B4100" s="503"/>
    </row>
    <row r="4101" spans="2:2" ht="12" customHeight="1">
      <c r="B4101" s="503"/>
    </row>
    <row r="4102" spans="2:2" ht="12" customHeight="1">
      <c r="B4102" s="503"/>
    </row>
    <row r="4103" spans="2:2" ht="12" customHeight="1">
      <c r="B4103" s="503"/>
    </row>
    <row r="4104" spans="2:2" ht="12" customHeight="1">
      <c r="B4104" s="503"/>
    </row>
    <row r="4105" spans="2:2" ht="12" customHeight="1">
      <c r="B4105" s="503"/>
    </row>
    <row r="4106" spans="2:2" ht="12" customHeight="1">
      <c r="B4106" s="503"/>
    </row>
    <row r="4107" spans="2:2" ht="12" customHeight="1">
      <c r="B4107" s="503"/>
    </row>
    <row r="4108" spans="2:2" ht="12" customHeight="1">
      <c r="B4108" s="503"/>
    </row>
    <row r="4109" spans="2:2" ht="12" customHeight="1">
      <c r="B4109" s="503"/>
    </row>
    <row r="4110" spans="2:2" ht="12" customHeight="1">
      <c r="B4110" s="503"/>
    </row>
    <row r="4111" spans="2:2" ht="12" customHeight="1">
      <c r="B4111" s="503"/>
    </row>
    <row r="4112" spans="2:2" ht="12" customHeight="1">
      <c r="B4112" s="503"/>
    </row>
    <row r="4113" spans="2:2" ht="12" customHeight="1">
      <c r="B4113" s="503"/>
    </row>
    <row r="4114" spans="2:2" ht="12" customHeight="1">
      <c r="B4114" s="503"/>
    </row>
    <row r="4115" spans="2:2" ht="12" customHeight="1">
      <c r="B4115" s="503"/>
    </row>
    <row r="4116" spans="2:2" ht="12" customHeight="1">
      <c r="B4116" s="503"/>
    </row>
    <row r="4117" spans="2:2" ht="12" customHeight="1">
      <c r="B4117" s="503"/>
    </row>
    <row r="4118" spans="2:2" ht="12" customHeight="1">
      <c r="B4118" s="503"/>
    </row>
    <row r="4119" spans="2:2" ht="12" customHeight="1">
      <c r="B4119" s="503"/>
    </row>
    <row r="4120" spans="2:2" ht="12" customHeight="1">
      <c r="B4120" s="503"/>
    </row>
    <row r="4121" spans="2:2" ht="12" customHeight="1">
      <c r="B4121" s="503"/>
    </row>
    <row r="4122" spans="2:2" ht="12" customHeight="1">
      <c r="B4122" s="503"/>
    </row>
    <row r="4123" spans="2:2" ht="12" customHeight="1">
      <c r="B4123" s="503"/>
    </row>
    <row r="4124" spans="2:2" ht="12" customHeight="1">
      <c r="B4124" s="503"/>
    </row>
    <row r="4125" spans="2:2" ht="12" customHeight="1">
      <c r="B4125" s="503"/>
    </row>
    <row r="4126" spans="2:2" ht="12" customHeight="1">
      <c r="B4126" s="503"/>
    </row>
    <row r="4127" spans="2:2" ht="12" customHeight="1">
      <c r="B4127" s="503"/>
    </row>
    <row r="4128" spans="2:2" ht="12" customHeight="1">
      <c r="B4128" s="503"/>
    </row>
    <row r="4129" spans="2:2" ht="12" customHeight="1">
      <c r="B4129" s="503"/>
    </row>
    <row r="4130" spans="2:2" ht="12" customHeight="1">
      <c r="B4130" s="503"/>
    </row>
    <row r="4131" spans="2:2" ht="12" customHeight="1">
      <c r="B4131" s="503"/>
    </row>
    <row r="4132" spans="2:2" ht="12" customHeight="1">
      <c r="B4132" s="503"/>
    </row>
    <row r="4133" spans="2:2" ht="12" customHeight="1">
      <c r="B4133" s="503"/>
    </row>
    <row r="4134" spans="2:2" ht="12" customHeight="1">
      <c r="B4134" s="503"/>
    </row>
    <row r="4135" spans="2:2" ht="12" customHeight="1">
      <c r="B4135" s="503"/>
    </row>
    <row r="4136" spans="2:2" ht="12" customHeight="1">
      <c r="B4136" s="503"/>
    </row>
    <row r="4137" spans="2:2" ht="12" customHeight="1">
      <c r="B4137" s="503"/>
    </row>
    <row r="4138" spans="2:2" ht="12" customHeight="1">
      <c r="B4138" s="503"/>
    </row>
    <row r="4139" spans="2:2" ht="12" customHeight="1">
      <c r="B4139" s="503"/>
    </row>
    <row r="4140" spans="2:2" ht="12" customHeight="1">
      <c r="B4140" s="503"/>
    </row>
    <row r="4141" spans="2:2" ht="12" customHeight="1">
      <c r="B4141" s="503"/>
    </row>
    <row r="4142" spans="2:2" ht="12" customHeight="1">
      <c r="B4142" s="503"/>
    </row>
    <row r="4143" spans="2:2" ht="12" customHeight="1">
      <c r="B4143" s="503"/>
    </row>
    <row r="4144" spans="2:2" ht="12" customHeight="1">
      <c r="B4144" s="503"/>
    </row>
    <row r="4145" spans="2:2" ht="12" customHeight="1">
      <c r="B4145" s="503"/>
    </row>
    <row r="4146" spans="2:2" ht="12" customHeight="1">
      <c r="B4146" s="503"/>
    </row>
    <row r="4147" spans="2:2" ht="12" customHeight="1">
      <c r="B4147" s="503"/>
    </row>
    <row r="4148" spans="2:2" ht="12" customHeight="1">
      <c r="B4148" s="503"/>
    </row>
    <row r="4149" spans="2:2" ht="12" customHeight="1">
      <c r="B4149" s="503"/>
    </row>
    <row r="4150" spans="2:2" ht="12" customHeight="1">
      <c r="B4150" s="503"/>
    </row>
    <row r="4151" spans="2:2" ht="12" customHeight="1">
      <c r="B4151" s="503"/>
    </row>
    <row r="4152" spans="2:2" ht="12" customHeight="1">
      <c r="B4152" s="503"/>
    </row>
    <row r="4153" spans="2:2" ht="12" customHeight="1">
      <c r="B4153" s="503"/>
    </row>
    <row r="4154" spans="2:2" ht="12" customHeight="1">
      <c r="B4154" s="503"/>
    </row>
    <row r="4155" spans="2:2" ht="12" customHeight="1">
      <c r="B4155" s="503"/>
    </row>
    <row r="4156" spans="2:2" ht="12" customHeight="1">
      <c r="B4156" s="503"/>
    </row>
    <row r="4157" spans="2:2" ht="12" customHeight="1">
      <c r="B4157" s="503"/>
    </row>
    <row r="4158" spans="2:2" ht="12" customHeight="1">
      <c r="B4158" s="503"/>
    </row>
    <row r="4159" spans="2:2" ht="12" customHeight="1">
      <c r="B4159" s="503"/>
    </row>
    <row r="4160" spans="2:2" ht="12" customHeight="1">
      <c r="B4160" s="503"/>
    </row>
    <row r="4161" spans="2:2" ht="12" customHeight="1">
      <c r="B4161" s="503"/>
    </row>
    <row r="4162" spans="2:2" ht="12" customHeight="1">
      <c r="B4162" s="503"/>
    </row>
    <row r="4163" spans="2:2" ht="12" customHeight="1">
      <c r="B4163" s="503"/>
    </row>
    <row r="4164" spans="2:2" ht="12" customHeight="1">
      <c r="B4164" s="503"/>
    </row>
    <row r="4165" spans="2:2" ht="12" customHeight="1">
      <c r="B4165" s="503"/>
    </row>
    <row r="4166" spans="2:2" ht="12" customHeight="1">
      <c r="B4166" s="503"/>
    </row>
    <row r="4167" spans="2:2" ht="12" customHeight="1">
      <c r="B4167" s="503"/>
    </row>
    <row r="4168" spans="2:2" ht="12" customHeight="1">
      <c r="B4168" s="503"/>
    </row>
    <row r="4169" spans="2:2" ht="12" customHeight="1">
      <c r="B4169" s="503"/>
    </row>
    <row r="4170" spans="2:2" ht="12" customHeight="1">
      <c r="B4170" s="503"/>
    </row>
    <row r="4171" spans="2:2" ht="12" customHeight="1">
      <c r="B4171" s="503"/>
    </row>
    <row r="4172" spans="2:2" ht="12" customHeight="1">
      <c r="B4172" s="503"/>
    </row>
    <row r="4173" spans="2:2" ht="12" customHeight="1">
      <c r="B4173" s="503"/>
    </row>
    <row r="4174" spans="2:2" ht="12" customHeight="1">
      <c r="B4174" s="503"/>
    </row>
    <row r="4175" spans="2:2" ht="12" customHeight="1">
      <c r="B4175" s="503"/>
    </row>
    <row r="4176" spans="2:2" ht="12" customHeight="1">
      <c r="B4176" s="503"/>
    </row>
    <row r="4177" spans="2:2" ht="12" customHeight="1">
      <c r="B4177" s="503"/>
    </row>
    <row r="4178" spans="2:2" ht="12" customHeight="1">
      <c r="B4178" s="503"/>
    </row>
    <row r="4179" spans="2:2" ht="12" customHeight="1">
      <c r="B4179" s="503"/>
    </row>
    <row r="4180" spans="2:2" ht="12" customHeight="1">
      <c r="B4180" s="503"/>
    </row>
    <row r="4181" spans="2:2" ht="12" customHeight="1">
      <c r="B4181" s="503"/>
    </row>
    <row r="4182" spans="2:2" ht="12" customHeight="1">
      <c r="B4182" s="503"/>
    </row>
    <row r="4183" spans="2:2" ht="12" customHeight="1">
      <c r="B4183" s="503"/>
    </row>
    <row r="4184" spans="2:2" ht="12" customHeight="1">
      <c r="B4184" s="503"/>
    </row>
    <row r="4185" spans="2:2" ht="12" customHeight="1">
      <c r="B4185" s="503"/>
    </row>
    <row r="4186" spans="2:2" ht="12" customHeight="1">
      <c r="B4186" s="503"/>
    </row>
    <row r="4187" spans="2:2" ht="12" customHeight="1">
      <c r="B4187" s="503"/>
    </row>
    <row r="4188" spans="2:2" ht="12" customHeight="1">
      <c r="B4188" s="503"/>
    </row>
    <row r="4189" spans="2:2" ht="12" customHeight="1">
      <c r="B4189" s="503"/>
    </row>
    <row r="4190" spans="2:2" ht="12" customHeight="1">
      <c r="B4190" s="503"/>
    </row>
    <row r="4191" spans="2:2" ht="12" customHeight="1">
      <c r="B4191" s="503"/>
    </row>
    <row r="4192" spans="2:2" ht="12" customHeight="1">
      <c r="B4192" s="503"/>
    </row>
    <row r="4193" spans="2:2" ht="12" customHeight="1">
      <c r="B4193" s="503"/>
    </row>
    <row r="4194" spans="2:2" ht="12" customHeight="1">
      <c r="B4194" s="503"/>
    </row>
    <row r="4195" spans="2:2" ht="12" customHeight="1">
      <c r="B4195" s="503"/>
    </row>
    <row r="4196" spans="2:2" ht="12" customHeight="1">
      <c r="B4196" s="503"/>
    </row>
    <row r="4197" spans="2:2" ht="12" customHeight="1">
      <c r="B4197" s="503"/>
    </row>
    <row r="4198" spans="2:2" ht="12" customHeight="1">
      <c r="B4198" s="503"/>
    </row>
    <row r="4199" spans="2:2" ht="12" customHeight="1">
      <c r="B4199" s="503"/>
    </row>
    <row r="4200" spans="2:2" ht="12" customHeight="1">
      <c r="B4200" s="503"/>
    </row>
    <row r="4201" spans="2:2" ht="12" customHeight="1">
      <c r="B4201" s="503"/>
    </row>
    <row r="4202" spans="2:2" ht="12" customHeight="1">
      <c r="B4202" s="503"/>
    </row>
    <row r="4203" spans="2:2" ht="12" customHeight="1">
      <c r="B4203" s="503"/>
    </row>
    <row r="4204" spans="2:2" ht="12" customHeight="1">
      <c r="B4204" s="503"/>
    </row>
    <row r="4205" spans="2:2" ht="12" customHeight="1">
      <c r="B4205" s="503"/>
    </row>
    <row r="4206" spans="2:2" ht="12" customHeight="1">
      <c r="B4206" s="503"/>
    </row>
    <row r="4207" spans="2:2" ht="12" customHeight="1">
      <c r="B4207" s="503"/>
    </row>
    <row r="4208" spans="2:2" ht="12" customHeight="1">
      <c r="B4208" s="503"/>
    </row>
    <row r="4209" spans="2:2" ht="12" customHeight="1">
      <c r="B4209" s="503"/>
    </row>
    <row r="4210" spans="2:2" ht="12" customHeight="1">
      <c r="B4210" s="503"/>
    </row>
    <row r="4211" spans="2:2" ht="12" customHeight="1">
      <c r="B4211" s="503"/>
    </row>
    <row r="4212" spans="2:2" ht="12" customHeight="1">
      <c r="B4212" s="503"/>
    </row>
    <row r="4213" spans="2:2" ht="12" customHeight="1">
      <c r="B4213" s="503"/>
    </row>
    <row r="4214" spans="2:2" ht="12" customHeight="1">
      <c r="B4214" s="503"/>
    </row>
    <row r="4215" spans="2:2" ht="12" customHeight="1">
      <c r="B4215" s="503"/>
    </row>
    <row r="4216" spans="2:2" ht="12" customHeight="1">
      <c r="B4216" s="503"/>
    </row>
    <row r="4217" spans="2:2" ht="12" customHeight="1">
      <c r="B4217" s="503"/>
    </row>
    <row r="4218" spans="2:2" ht="12" customHeight="1">
      <c r="B4218" s="503"/>
    </row>
    <row r="4219" spans="2:2" ht="12" customHeight="1">
      <c r="B4219" s="503"/>
    </row>
    <row r="4220" spans="2:2" ht="12" customHeight="1">
      <c r="B4220" s="503"/>
    </row>
    <row r="4221" spans="2:2" ht="12" customHeight="1">
      <c r="B4221" s="503"/>
    </row>
    <row r="4222" spans="2:2" ht="12" customHeight="1">
      <c r="B4222" s="503"/>
    </row>
    <row r="4223" spans="2:2" ht="12" customHeight="1">
      <c r="B4223" s="503"/>
    </row>
    <row r="4224" spans="2:2" ht="12" customHeight="1">
      <c r="B4224" s="503"/>
    </row>
    <row r="4225" spans="2:2" ht="12" customHeight="1">
      <c r="B4225" s="503"/>
    </row>
    <row r="4226" spans="2:2" ht="12" customHeight="1">
      <c r="B4226" s="503"/>
    </row>
    <row r="4227" spans="2:2" ht="12" customHeight="1">
      <c r="B4227" s="503"/>
    </row>
    <row r="4228" spans="2:2" ht="12" customHeight="1">
      <c r="B4228" s="503"/>
    </row>
    <row r="4229" spans="2:2" ht="12" customHeight="1">
      <c r="B4229" s="503"/>
    </row>
    <row r="4230" spans="2:2" ht="12" customHeight="1">
      <c r="B4230" s="503"/>
    </row>
    <row r="4231" spans="2:2" ht="12" customHeight="1">
      <c r="B4231" s="503"/>
    </row>
    <row r="4232" spans="2:2" ht="12" customHeight="1">
      <c r="B4232" s="503"/>
    </row>
    <row r="4233" spans="2:2" ht="12" customHeight="1">
      <c r="B4233" s="503"/>
    </row>
    <row r="4234" spans="2:2" ht="12" customHeight="1">
      <c r="B4234" s="503"/>
    </row>
    <row r="4235" spans="2:2" ht="12" customHeight="1">
      <c r="B4235" s="503"/>
    </row>
    <row r="4236" spans="2:2" ht="12" customHeight="1">
      <c r="B4236" s="503"/>
    </row>
    <row r="4237" spans="2:2" ht="12" customHeight="1">
      <c r="B4237" s="503"/>
    </row>
    <row r="4238" spans="2:2" ht="12" customHeight="1">
      <c r="B4238" s="503"/>
    </row>
    <row r="4239" spans="2:2" ht="12" customHeight="1">
      <c r="B4239" s="503"/>
    </row>
    <row r="4240" spans="2:2" ht="12" customHeight="1">
      <c r="B4240" s="503"/>
    </row>
    <row r="4241" spans="2:2" ht="12" customHeight="1">
      <c r="B4241" s="503"/>
    </row>
    <row r="4242" spans="2:2" ht="12" customHeight="1">
      <c r="B4242" s="503"/>
    </row>
    <row r="4243" spans="2:2" ht="12" customHeight="1">
      <c r="B4243" s="503"/>
    </row>
    <row r="4244" spans="2:2" ht="12" customHeight="1">
      <c r="B4244" s="503"/>
    </row>
    <row r="4245" spans="2:2" ht="12" customHeight="1">
      <c r="B4245" s="503"/>
    </row>
    <row r="4246" spans="2:2" ht="12" customHeight="1">
      <c r="B4246" s="503"/>
    </row>
    <row r="4247" spans="2:2" ht="12" customHeight="1">
      <c r="B4247" s="503"/>
    </row>
    <row r="4248" spans="2:2" ht="12" customHeight="1">
      <c r="B4248" s="503"/>
    </row>
    <row r="4249" spans="2:2" ht="12" customHeight="1">
      <c r="B4249" s="503"/>
    </row>
    <row r="4250" spans="2:2" ht="12" customHeight="1">
      <c r="B4250" s="503"/>
    </row>
    <row r="4251" spans="2:2" ht="12" customHeight="1">
      <c r="B4251" s="503"/>
    </row>
    <row r="4252" spans="2:2" ht="12" customHeight="1">
      <c r="B4252" s="503"/>
    </row>
    <row r="4253" spans="2:2" ht="12" customHeight="1">
      <c r="B4253" s="503"/>
    </row>
    <row r="4254" spans="2:2" ht="12" customHeight="1">
      <c r="B4254" s="503"/>
    </row>
    <row r="4255" spans="2:2" ht="12" customHeight="1">
      <c r="B4255" s="503"/>
    </row>
    <row r="4256" spans="2:2" ht="12" customHeight="1">
      <c r="B4256" s="503"/>
    </row>
    <row r="4257" spans="2:2" ht="12" customHeight="1">
      <c r="B4257" s="503"/>
    </row>
    <row r="4258" spans="2:2" ht="12" customHeight="1">
      <c r="B4258" s="503"/>
    </row>
    <row r="4259" spans="2:2" ht="12" customHeight="1">
      <c r="B4259" s="503"/>
    </row>
    <row r="4260" spans="2:2" ht="12" customHeight="1">
      <c r="B4260" s="503"/>
    </row>
    <row r="4261" spans="2:2" ht="12" customHeight="1">
      <c r="B4261" s="503"/>
    </row>
    <row r="4262" spans="2:2" ht="12" customHeight="1">
      <c r="B4262" s="503"/>
    </row>
    <row r="4263" spans="2:2" ht="12" customHeight="1">
      <c r="B4263" s="503"/>
    </row>
    <row r="4264" spans="2:2" ht="12" customHeight="1">
      <c r="B4264" s="503"/>
    </row>
    <row r="4265" spans="2:2" ht="12" customHeight="1">
      <c r="B4265" s="503"/>
    </row>
    <row r="4266" spans="2:2" ht="12" customHeight="1">
      <c r="B4266" s="503"/>
    </row>
    <row r="4267" spans="2:2" ht="12" customHeight="1">
      <c r="B4267" s="503"/>
    </row>
    <row r="4268" spans="2:2" ht="12" customHeight="1">
      <c r="B4268" s="503"/>
    </row>
    <row r="4269" spans="2:2" ht="12" customHeight="1">
      <c r="B4269" s="503"/>
    </row>
    <row r="4270" spans="2:2" ht="12" customHeight="1">
      <c r="B4270" s="503"/>
    </row>
    <row r="4271" spans="2:2" ht="12" customHeight="1">
      <c r="B4271" s="503"/>
    </row>
    <row r="4272" spans="2:2" ht="12" customHeight="1">
      <c r="B4272" s="503"/>
    </row>
    <row r="4273" spans="2:2" ht="12" customHeight="1">
      <c r="B4273" s="503"/>
    </row>
    <row r="4274" spans="2:2" ht="12" customHeight="1">
      <c r="B4274" s="503"/>
    </row>
    <row r="4275" spans="2:2" ht="12" customHeight="1">
      <c r="B4275" s="503"/>
    </row>
    <row r="4276" spans="2:2" ht="12" customHeight="1">
      <c r="B4276" s="503"/>
    </row>
    <row r="4277" spans="2:2" ht="12" customHeight="1">
      <c r="B4277" s="503"/>
    </row>
    <row r="4278" spans="2:2" ht="12" customHeight="1">
      <c r="B4278" s="503"/>
    </row>
    <row r="4279" spans="2:2" ht="12" customHeight="1">
      <c r="B4279" s="503"/>
    </row>
    <row r="4280" spans="2:2" ht="12" customHeight="1">
      <c r="B4280" s="503"/>
    </row>
    <row r="4281" spans="2:2" ht="12" customHeight="1">
      <c r="B4281" s="503"/>
    </row>
    <row r="4282" spans="2:2" ht="12" customHeight="1">
      <c r="B4282" s="503"/>
    </row>
    <row r="4283" spans="2:2" ht="12" customHeight="1">
      <c r="B4283" s="503"/>
    </row>
    <row r="4284" spans="2:2" ht="12" customHeight="1">
      <c r="B4284" s="503"/>
    </row>
    <row r="4285" spans="2:2" ht="12" customHeight="1">
      <c r="B4285" s="503"/>
    </row>
    <row r="4286" spans="2:2" ht="12" customHeight="1">
      <c r="B4286" s="503"/>
    </row>
    <row r="4287" spans="2:2" ht="12" customHeight="1">
      <c r="B4287" s="503"/>
    </row>
    <row r="4288" spans="2:2" ht="12" customHeight="1">
      <c r="B4288" s="503"/>
    </row>
    <row r="4289" spans="2:2" ht="12" customHeight="1">
      <c r="B4289" s="503"/>
    </row>
    <row r="4290" spans="2:2" ht="12" customHeight="1">
      <c r="B4290" s="503"/>
    </row>
    <row r="4291" spans="2:2" ht="12" customHeight="1">
      <c r="B4291" s="503"/>
    </row>
    <row r="4292" spans="2:2" ht="12" customHeight="1">
      <c r="B4292" s="503"/>
    </row>
    <row r="4293" spans="2:2" ht="12" customHeight="1">
      <c r="B4293" s="503"/>
    </row>
    <row r="4294" spans="2:2" ht="12" customHeight="1">
      <c r="B4294" s="503"/>
    </row>
    <row r="4295" spans="2:2" ht="12" customHeight="1">
      <c r="B4295" s="503"/>
    </row>
    <row r="4296" spans="2:2" ht="12" customHeight="1">
      <c r="B4296" s="503"/>
    </row>
    <row r="4297" spans="2:2" ht="12" customHeight="1">
      <c r="B4297" s="503"/>
    </row>
    <row r="4298" spans="2:2" ht="12" customHeight="1">
      <c r="B4298" s="503"/>
    </row>
    <row r="4299" spans="2:2" ht="12" customHeight="1">
      <c r="B4299" s="503"/>
    </row>
    <row r="4300" spans="2:2" ht="12" customHeight="1">
      <c r="B4300" s="503"/>
    </row>
    <row r="4301" spans="2:2" ht="12" customHeight="1">
      <c r="B4301" s="503"/>
    </row>
    <row r="4302" spans="2:2" ht="12" customHeight="1">
      <c r="B4302" s="503"/>
    </row>
    <row r="4303" spans="2:2" ht="12" customHeight="1">
      <c r="B4303" s="503"/>
    </row>
    <row r="4304" spans="2:2" ht="12" customHeight="1">
      <c r="B4304" s="503"/>
    </row>
    <row r="4305" spans="2:2" ht="12" customHeight="1">
      <c r="B4305" s="503"/>
    </row>
    <row r="4306" spans="2:2" ht="12" customHeight="1">
      <c r="B4306" s="503"/>
    </row>
    <row r="4307" spans="2:2" ht="12" customHeight="1">
      <c r="B4307" s="503"/>
    </row>
    <row r="4308" spans="2:2" ht="12" customHeight="1">
      <c r="B4308" s="503"/>
    </row>
    <row r="4309" spans="2:2" ht="12" customHeight="1">
      <c r="B4309" s="503"/>
    </row>
    <row r="4310" spans="2:2" ht="12" customHeight="1">
      <c r="B4310" s="503"/>
    </row>
    <row r="4311" spans="2:2" ht="12" customHeight="1">
      <c r="B4311" s="503"/>
    </row>
    <row r="4312" spans="2:2" ht="12" customHeight="1">
      <c r="B4312" s="503"/>
    </row>
    <row r="4313" spans="2:2" ht="12" customHeight="1">
      <c r="B4313" s="503"/>
    </row>
    <row r="4314" spans="2:2" ht="12" customHeight="1">
      <c r="B4314" s="503"/>
    </row>
    <row r="4315" spans="2:2" ht="12" customHeight="1">
      <c r="B4315" s="503"/>
    </row>
    <row r="4316" spans="2:2" ht="12" customHeight="1">
      <c r="B4316" s="503"/>
    </row>
    <row r="4317" spans="2:2" ht="12" customHeight="1">
      <c r="B4317" s="503"/>
    </row>
    <row r="4318" spans="2:2" ht="12" customHeight="1">
      <c r="B4318" s="503"/>
    </row>
    <row r="4319" spans="2:2" ht="12" customHeight="1">
      <c r="B4319" s="503"/>
    </row>
    <row r="4320" spans="2:2" ht="12" customHeight="1">
      <c r="B4320" s="503"/>
    </row>
    <row r="4321" spans="2:2" ht="12" customHeight="1">
      <c r="B4321" s="503"/>
    </row>
    <row r="4322" spans="2:2" ht="12" customHeight="1">
      <c r="B4322" s="503"/>
    </row>
    <row r="4323" spans="2:2" ht="12" customHeight="1">
      <c r="B4323" s="503"/>
    </row>
    <row r="4324" spans="2:2" ht="12" customHeight="1">
      <c r="B4324" s="503"/>
    </row>
    <row r="4325" spans="2:2" ht="12" customHeight="1">
      <c r="B4325" s="503"/>
    </row>
    <row r="4326" spans="2:2" ht="12" customHeight="1">
      <c r="B4326" s="503"/>
    </row>
    <row r="4327" spans="2:2" ht="12" customHeight="1">
      <c r="B4327" s="503"/>
    </row>
    <row r="4328" spans="2:2" ht="12" customHeight="1">
      <c r="B4328" s="503"/>
    </row>
    <row r="4329" spans="2:2" ht="12" customHeight="1">
      <c r="B4329" s="503"/>
    </row>
    <row r="4330" spans="2:2" ht="12" customHeight="1">
      <c r="B4330" s="503"/>
    </row>
    <row r="4331" spans="2:2" ht="12" customHeight="1">
      <c r="B4331" s="503"/>
    </row>
    <row r="4332" spans="2:2" ht="12" customHeight="1">
      <c r="B4332" s="503"/>
    </row>
    <row r="4333" spans="2:2" ht="12" customHeight="1">
      <c r="B4333" s="503"/>
    </row>
    <row r="4334" spans="2:2" ht="12" customHeight="1">
      <c r="B4334" s="503"/>
    </row>
    <row r="4335" spans="2:2" ht="12" customHeight="1">
      <c r="B4335" s="503"/>
    </row>
    <row r="4336" spans="2:2" ht="12" customHeight="1">
      <c r="B4336" s="503"/>
    </row>
    <row r="4337" spans="2:2" ht="12" customHeight="1">
      <c r="B4337" s="503"/>
    </row>
    <row r="4338" spans="2:2" ht="12" customHeight="1">
      <c r="B4338" s="503"/>
    </row>
    <row r="4339" spans="2:2" ht="12" customHeight="1">
      <c r="B4339" s="503"/>
    </row>
    <row r="4340" spans="2:2" ht="12" customHeight="1">
      <c r="B4340" s="503"/>
    </row>
    <row r="4341" spans="2:2" ht="12" customHeight="1">
      <c r="B4341" s="503"/>
    </row>
    <row r="4342" spans="2:2" ht="12" customHeight="1">
      <c r="B4342" s="503"/>
    </row>
    <row r="4343" spans="2:2" ht="12" customHeight="1">
      <c r="B4343" s="503"/>
    </row>
    <row r="4344" spans="2:2" ht="12" customHeight="1">
      <c r="B4344" s="503"/>
    </row>
    <row r="4345" spans="2:2" ht="12" customHeight="1">
      <c r="B4345" s="503"/>
    </row>
    <row r="4346" spans="2:2" ht="12" customHeight="1">
      <c r="B4346" s="503"/>
    </row>
    <row r="4347" spans="2:2" ht="12" customHeight="1">
      <c r="B4347" s="503"/>
    </row>
    <row r="4348" spans="2:2" ht="12" customHeight="1">
      <c r="B4348" s="503"/>
    </row>
    <row r="4349" spans="2:2" ht="12" customHeight="1">
      <c r="B4349" s="503"/>
    </row>
    <row r="4350" spans="2:2" ht="12" customHeight="1">
      <c r="B4350" s="503"/>
    </row>
    <row r="4351" spans="2:2" ht="12" customHeight="1">
      <c r="B4351" s="503"/>
    </row>
    <row r="4352" spans="2:2" ht="12" customHeight="1">
      <c r="B4352" s="503"/>
    </row>
    <row r="4353" spans="2:2" ht="12" customHeight="1">
      <c r="B4353" s="503"/>
    </row>
    <row r="4354" spans="2:2" ht="12" customHeight="1">
      <c r="B4354" s="503"/>
    </row>
    <row r="4355" spans="2:2" ht="12" customHeight="1">
      <c r="B4355" s="503"/>
    </row>
    <row r="4356" spans="2:2" ht="12" customHeight="1">
      <c r="B4356" s="503"/>
    </row>
    <row r="4357" spans="2:2" ht="12" customHeight="1">
      <c r="B4357" s="503"/>
    </row>
    <row r="4358" spans="2:2" ht="12" customHeight="1">
      <c r="B4358" s="503"/>
    </row>
    <row r="4359" spans="2:2" ht="12" customHeight="1">
      <c r="B4359" s="503"/>
    </row>
    <row r="4360" spans="2:2" ht="12" customHeight="1">
      <c r="B4360" s="503"/>
    </row>
    <row r="4361" spans="2:2" ht="12" customHeight="1">
      <c r="B4361" s="503"/>
    </row>
    <row r="4362" spans="2:2" ht="12" customHeight="1">
      <c r="B4362" s="503"/>
    </row>
    <row r="4363" spans="2:2" ht="12" customHeight="1">
      <c r="B4363" s="503"/>
    </row>
    <row r="4364" spans="2:2" ht="12" customHeight="1">
      <c r="B4364" s="503"/>
    </row>
    <row r="4365" spans="2:2" ht="12" customHeight="1">
      <c r="B4365" s="503"/>
    </row>
    <row r="4366" spans="2:2" ht="12" customHeight="1">
      <c r="B4366" s="503"/>
    </row>
    <row r="4367" spans="2:2" ht="12" customHeight="1">
      <c r="B4367" s="503"/>
    </row>
    <row r="4368" spans="2:2" ht="12" customHeight="1">
      <c r="B4368" s="503"/>
    </row>
    <row r="4369" spans="2:2" ht="12" customHeight="1">
      <c r="B4369" s="503"/>
    </row>
    <row r="4370" spans="2:2" ht="12" customHeight="1">
      <c r="B4370" s="503"/>
    </row>
    <row r="4371" spans="2:2" ht="12" customHeight="1">
      <c r="B4371" s="503"/>
    </row>
    <row r="4372" spans="2:2" ht="12" customHeight="1">
      <c r="B4372" s="503"/>
    </row>
    <row r="4373" spans="2:2" ht="12" customHeight="1">
      <c r="B4373" s="503"/>
    </row>
    <row r="4374" spans="2:2" ht="12" customHeight="1">
      <c r="B4374" s="503"/>
    </row>
    <row r="4375" spans="2:2" ht="12" customHeight="1">
      <c r="B4375" s="503"/>
    </row>
    <row r="4376" spans="2:2" ht="12" customHeight="1">
      <c r="B4376" s="503"/>
    </row>
    <row r="4377" spans="2:2" ht="12" customHeight="1">
      <c r="B4377" s="503"/>
    </row>
    <row r="4378" spans="2:2" ht="12" customHeight="1">
      <c r="B4378" s="503"/>
    </row>
    <row r="4379" spans="2:2" ht="12" customHeight="1">
      <c r="B4379" s="503"/>
    </row>
    <row r="4380" spans="2:2" ht="12" customHeight="1">
      <c r="B4380" s="503"/>
    </row>
    <row r="4381" spans="2:2" ht="12" customHeight="1">
      <c r="B4381" s="503"/>
    </row>
    <row r="4382" spans="2:2" ht="12" customHeight="1">
      <c r="B4382" s="503"/>
    </row>
    <row r="4383" spans="2:2" ht="12" customHeight="1">
      <c r="B4383" s="503"/>
    </row>
    <row r="4384" spans="2:2" ht="12" customHeight="1">
      <c r="B4384" s="503"/>
    </row>
    <row r="4385" spans="2:2" ht="12" customHeight="1">
      <c r="B4385" s="503"/>
    </row>
    <row r="4386" spans="2:2" ht="12" customHeight="1">
      <c r="B4386" s="503"/>
    </row>
    <row r="4387" spans="2:2" ht="12" customHeight="1">
      <c r="B4387" s="503"/>
    </row>
    <row r="4388" spans="2:2" ht="12" customHeight="1">
      <c r="B4388" s="503"/>
    </row>
    <row r="4389" spans="2:2" ht="12" customHeight="1">
      <c r="B4389" s="503"/>
    </row>
    <row r="4390" spans="2:2" ht="12" customHeight="1">
      <c r="B4390" s="503"/>
    </row>
    <row r="4391" spans="2:2" ht="12" customHeight="1">
      <c r="B4391" s="503"/>
    </row>
    <row r="4392" spans="2:2" ht="12" customHeight="1">
      <c r="B4392" s="503"/>
    </row>
    <row r="4393" spans="2:2" ht="12" customHeight="1">
      <c r="B4393" s="503"/>
    </row>
    <row r="4394" spans="2:2" ht="12" customHeight="1">
      <c r="B4394" s="503"/>
    </row>
    <row r="4395" spans="2:2" ht="12" customHeight="1">
      <c r="B4395" s="503"/>
    </row>
    <row r="4396" spans="2:2" ht="12" customHeight="1">
      <c r="B4396" s="503"/>
    </row>
    <row r="4397" spans="2:2" ht="12" customHeight="1">
      <c r="B4397" s="503"/>
    </row>
    <row r="4398" spans="2:2" ht="12" customHeight="1">
      <c r="B4398" s="503"/>
    </row>
    <row r="4399" spans="2:2" ht="12" customHeight="1">
      <c r="B4399" s="503"/>
    </row>
    <row r="4400" spans="2:2" ht="12" customHeight="1">
      <c r="B4400" s="503"/>
    </row>
    <row r="4401" spans="2:2" ht="12" customHeight="1">
      <c r="B4401" s="503"/>
    </row>
    <row r="4402" spans="2:2" ht="12" customHeight="1">
      <c r="B4402" s="503"/>
    </row>
    <row r="4403" spans="2:2" ht="12" customHeight="1">
      <c r="B4403" s="503"/>
    </row>
    <row r="4404" spans="2:2" ht="12" customHeight="1">
      <c r="B4404" s="503"/>
    </row>
    <row r="4405" spans="2:2" ht="12" customHeight="1">
      <c r="B4405" s="503"/>
    </row>
    <row r="4406" spans="2:2" ht="12" customHeight="1">
      <c r="B4406" s="503"/>
    </row>
    <row r="4407" spans="2:2" ht="12" customHeight="1">
      <c r="B4407" s="503"/>
    </row>
    <row r="4408" spans="2:2" ht="12" customHeight="1">
      <c r="B4408" s="503"/>
    </row>
    <row r="4409" spans="2:2" ht="12" customHeight="1">
      <c r="B4409" s="503"/>
    </row>
    <row r="4410" spans="2:2" ht="12" customHeight="1">
      <c r="B4410" s="503"/>
    </row>
    <row r="4411" spans="2:2" ht="12" customHeight="1">
      <c r="B4411" s="503"/>
    </row>
    <row r="4412" spans="2:2" ht="12" customHeight="1">
      <c r="B4412" s="503"/>
    </row>
    <row r="4413" spans="2:2" ht="12" customHeight="1">
      <c r="B4413" s="503"/>
    </row>
    <row r="4414" spans="2:2" ht="12" customHeight="1">
      <c r="B4414" s="503"/>
    </row>
    <row r="4415" spans="2:2" ht="12" customHeight="1">
      <c r="B4415" s="503"/>
    </row>
    <row r="4416" spans="2:2" ht="12" customHeight="1">
      <c r="B4416" s="503"/>
    </row>
    <row r="4417" spans="2:2" ht="12" customHeight="1">
      <c r="B4417" s="503"/>
    </row>
    <row r="4418" spans="2:2" ht="12" customHeight="1">
      <c r="B4418" s="503"/>
    </row>
    <row r="4419" spans="2:2" ht="12" customHeight="1">
      <c r="B4419" s="503"/>
    </row>
    <row r="4420" spans="2:2" ht="12" customHeight="1">
      <c r="B4420" s="503"/>
    </row>
    <row r="4421" spans="2:2" ht="12" customHeight="1">
      <c r="B4421" s="503"/>
    </row>
    <row r="4422" spans="2:2" ht="12" customHeight="1">
      <c r="B4422" s="503"/>
    </row>
    <row r="4423" spans="2:2" ht="12" customHeight="1">
      <c r="B4423" s="503"/>
    </row>
    <row r="4424" spans="2:2" ht="12" customHeight="1">
      <c r="B4424" s="503"/>
    </row>
    <row r="4425" spans="2:2" ht="12" customHeight="1">
      <c r="B4425" s="503"/>
    </row>
    <row r="4426" spans="2:2" ht="12" customHeight="1">
      <c r="B4426" s="503"/>
    </row>
    <row r="4427" spans="2:2" ht="12" customHeight="1">
      <c r="B4427" s="503"/>
    </row>
    <row r="4428" spans="2:2" ht="12" customHeight="1">
      <c r="B4428" s="503"/>
    </row>
    <row r="4429" spans="2:2" ht="12" customHeight="1">
      <c r="B4429" s="503"/>
    </row>
    <row r="4430" spans="2:2" ht="12" customHeight="1">
      <c r="B4430" s="503"/>
    </row>
    <row r="4431" spans="2:2" ht="12" customHeight="1">
      <c r="B4431" s="503"/>
    </row>
    <row r="4432" spans="2:2" ht="12" customHeight="1">
      <c r="B4432" s="503"/>
    </row>
    <row r="4433" spans="2:2" ht="12" customHeight="1">
      <c r="B4433" s="503"/>
    </row>
    <row r="4434" spans="2:2" ht="12" customHeight="1">
      <c r="B4434" s="503"/>
    </row>
    <row r="4435" spans="2:2" ht="12" customHeight="1">
      <c r="B4435" s="503"/>
    </row>
    <row r="4436" spans="2:2" ht="12" customHeight="1">
      <c r="B4436" s="503"/>
    </row>
    <row r="4437" spans="2:2" ht="12" customHeight="1">
      <c r="B4437" s="503"/>
    </row>
    <row r="4438" spans="2:2" ht="12" customHeight="1">
      <c r="B4438" s="503"/>
    </row>
    <row r="4439" spans="2:2" ht="12" customHeight="1">
      <c r="B4439" s="503"/>
    </row>
    <row r="4440" spans="2:2" ht="12" customHeight="1">
      <c r="B4440" s="503"/>
    </row>
    <row r="4441" spans="2:2" ht="12" customHeight="1">
      <c r="B4441" s="503"/>
    </row>
    <row r="4442" spans="2:2" ht="12" customHeight="1">
      <c r="B4442" s="503"/>
    </row>
    <row r="4443" spans="2:2" ht="12" customHeight="1">
      <c r="B4443" s="503"/>
    </row>
    <row r="4444" spans="2:2" ht="12" customHeight="1">
      <c r="B4444" s="503"/>
    </row>
    <row r="4445" spans="2:2" ht="12" customHeight="1">
      <c r="B4445" s="503"/>
    </row>
    <row r="4446" spans="2:2" ht="12" customHeight="1">
      <c r="B4446" s="503"/>
    </row>
    <row r="4447" spans="2:2" ht="12" customHeight="1">
      <c r="B4447" s="503"/>
    </row>
    <row r="4448" spans="2:2" ht="12" customHeight="1">
      <c r="B4448" s="503"/>
    </row>
    <row r="4449" spans="2:2" ht="12" customHeight="1">
      <c r="B4449" s="503"/>
    </row>
    <row r="4450" spans="2:2" ht="12" customHeight="1">
      <c r="B4450" s="503"/>
    </row>
    <row r="4451" spans="2:2" ht="12" customHeight="1">
      <c r="B4451" s="503"/>
    </row>
    <row r="4452" spans="2:2" ht="12" customHeight="1">
      <c r="B4452" s="503"/>
    </row>
    <row r="4453" spans="2:2" ht="12" customHeight="1">
      <c r="B4453" s="503"/>
    </row>
    <row r="4454" spans="2:2" ht="12" customHeight="1">
      <c r="B4454" s="503"/>
    </row>
    <row r="4455" spans="2:2" ht="12" customHeight="1">
      <c r="B4455" s="503"/>
    </row>
    <row r="4456" spans="2:2" ht="12" customHeight="1">
      <c r="B4456" s="503"/>
    </row>
    <row r="4457" spans="2:2" ht="12" customHeight="1">
      <c r="B4457" s="503"/>
    </row>
    <row r="4458" spans="2:2" ht="12" customHeight="1">
      <c r="B4458" s="503"/>
    </row>
    <row r="4459" spans="2:2" ht="12" customHeight="1">
      <c r="B4459" s="503"/>
    </row>
    <row r="4460" spans="2:2" ht="12" customHeight="1">
      <c r="B4460" s="503"/>
    </row>
    <row r="4461" spans="2:2" ht="12" customHeight="1">
      <c r="B4461" s="503"/>
    </row>
    <row r="4462" spans="2:2" ht="12" customHeight="1">
      <c r="B4462" s="503"/>
    </row>
    <row r="4463" spans="2:2" ht="12" customHeight="1">
      <c r="B4463" s="503"/>
    </row>
    <row r="4464" spans="2:2" ht="12" customHeight="1">
      <c r="B4464" s="503"/>
    </row>
    <row r="4465" spans="2:2" ht="12" customHeight="1">
      <c r="B4465" s="503"/>
    </row>
    <row r="4466" spans="2:2" ht="12" customHeight="1">
      <c r="B4466" s="503"/>
    </row>
    <row r="4467" spans="2:2" ht="12" customHeight="1">
      <c r="B4467" s="503"/>
    </row>
    <row r="4468" spans="2:2" ht="12" customHeight="1">
      <c r="B4468" s="503"/>
    </row>
    <row r="4469" spans="2:2" ht="12" customHeight="1">
      <c r="B4469" s="503"/>
    </row>
    <row r="4470" spans="2:2" ht="12" customHeight="1">
      <c r="B4470" s="503"/>
    </row>
    <row r="4471" spans="2:2" ht="12" customHeight="1">
      <c r="B4471" s="503"/>
    </row>
    <row r="4472" spans="2:2" ht="12" customHeight="1">
      <c r="B4472" s="503"/>
    </row>
    <row r="4473" spans="2:2" ht="12" customHeight="1">
      <c r="B4473" s="503"/>
    </row>
    <row r="4474" spans="2:2" ht="12" customHeight="1">
      <c r="B4474" s="503"/>
    </row>
    <row r="4475" spans="2:2" ht="12" customHeight="1">
      <c r="B4475" s="503"/>
    </row>
    <row r="4476" spans="2:2" ht="12" customHeight="1">
      <c r="B4476" s="503"/>
    </row>
    <row r="4477" spans="2:2" ht="12" customHeight="1">
      <c r="B4477" s="503"/>
    </row>
    <row r="4478" spans="2:2" ht="12" customHeight="1">
      <c r="B4478" s="503"/>
    </row>
    <row r="4479" spans="2:2" ht="12" customHeight="1">
      <c r="B4479" s="503"/>
    </row>
    <row r="4480" spans="2:2" ht="12" customHeight="1">
      <c r="B4480" s="503"/>
    </row>
    <row r="4481" spans="2:2" ht="12" customHeight="1">
      <c r="B4481" s="503"/>
    </row>
    <row r="4482" spans="2:2" ht="12" customHeight="1">
      <c r="B4482" s="503"/>
    </row>
    <row r="4483" spans="2:2" ht="12" customHeight="1">
      <c r="B4483" s="503"/>
    </row>
    <row r="4484" spans="2:2" ht="12" customHeight="1">
      <c r="B4484" s="503"/>
    </row>
    <row r="4485" spans="2:2" ht="12" customHeight="1">
      <c r="B4485" s="503"/>
    </row>
    <row r="4486" spans="2:2" ht="12" customHeight="1">
      <c r="B4486" s="503"/>
    </row>
    <row r="4487" spans="2:2" ht="12" customHeight="1">
      <c r="B4487" s="503"/>
    </row>
    <row r="4488" spans="2:2" ht="12" customHeight="1">
      <c r="B4488" s="503"/>
    </row>
    <row r="4489" spans="2:2" ht="12" customHeight="1">
      <c r="B4489" s="503"/>
    </row>
    <row r="4490" spans="2:2" ht="12" customHeight="1">
      <c r="B4490" s="503"/>
    </row>
    <row r="4491" spans="2:2" ht="12" customHeight="1">
      <c r="B4491" s="503"/>
    </row>
    <row r="4492" spans="2:2" ht="12" customHeight="1">
      <c r="B4492" s="503"/>
    </row>
    <row r="4493" spans="2:2" ht="12" customHeight="1">
      <c r="B4493" s="503"/>
    </row>
    <row r="4494" spans="2:2" ht="12" customHeight="1">
      <c r="B4494" s="503"/>
    </row>
    <row r="4495" spans="2:2" ht="12" customHeight="1">
      <c r="B4495" s="503"/>
    </row>
  </sheetData>
  <customSheetViews>
    <customSheetView guid="{EBCA391C-5ACD-495F-8ED1-C69B7D739622}">
      <pane ySplit="7" topLeftCell="A8" activePane="bottomLeft" state="frozen"/>
      <selection pane="bottomLeft" activeCell="B8" sqref="B8"/>
      <pageMargins left="0" right="0" top="0" bottom="0" header="0" footer="0"/>
      <pageSetup orientation="portrait"/>
      <headerFooter alignWithMargins="0"/>
    </customSheetView>
  </customSheetViews>
  <mergeCells count="3">
    <mergeCell ref="J2:T2"/>
    <mergeCell ref="U2:W2"/>
    <mergeCell ref="X2:AA2"/>
  </mergeCells>
  <phoneticPr fontId="0" type="noConversion"/>
  <dataValidations count="3">
    <dataValidation type="decimal" operator="greaterThanOrEqual" allowBlank="1" showInputMessage="1" showErrorMessage="1" sqref="C7:AB7 B42:B105 B1:B39 G112:R202 A42:A111 A1:A40 S8:S109 C35:E35 G35:R35 C104:R109 C36:R99 C8:R34 S112:Z631 G207:R631 A632:AB65536 AA8:IT631 AC1:IV7 AC632:IV1048576" xr:uid="{00000000-0002-0000-0800-000000000000}">
      <formula1>0</formula1>
    </dataValidation>
    <dataValidation operator="greaterThanOrEqual" allowBlank="1" showInputMessage="1" showErrorMessage="1" sqref="B106:B111" xr:uid="{00000000-0002-0000-0800-000001000000}"/>
    <dataValidation type="decimal" operator="greaterThanOrEqual" allowBlank="1" showInputMessage="1" showErrorMessage="1" prompt=" - " sqref="B112 B138:E138 B153:B156 B193:D196 A310:A315 A316:E631 C310:E315 A214:E309 C208:E213 F207:F631 B197:E207 F193:F202 B157:F192 E153:F156 B139:F152 B113:F137 E112:F112" xr:uid="{00000000-0002-0000-0800-000002000000}">
      <formula1>0</formula1>
    </dataValidation>
  </dataValidation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6"/>
  </sheetPr>
  <dimension ref="A9:S70"/>
  <sheetViews>
    <sheetView showGridLines="0" topLeftCell="A46" workbookViewId="0">
      <selection activeCell="P71" sqref="P71"/>
    </sheetView>
  </sheetViews>
  <sheetFormatPr defaultColWidth="9.21875" defaultRowHeight="13.15"/>
  <cols>
    <col min="1" max="2" width="5.77734375" style="591" customWidth="1"/>
    <col min="3" max="3" width="5.21875" style="591" customWidth="1"/>
    <col min="4" max="4" width="48.109375" style="591" customWidth="1"/>
    <col min="5" max="16384" width="9.21875" style="591"/>
  </cols>
  <sheetData>
    <row r="9" spans="1:19" ht="15.75" customHeight="1">
      <c r="C9" s="645" t="s">
        <v>1266</v>
      </c>
      <c r="E9" s="646">
        <v>1</v>
      </c>
      <c r="F9" s="646">
        <v>2</v>
      </c>
      <c r="G9" s="646">
        <v>3</v>
      </c>
      <c r="H9" s="646">
        <v>4</v>
      </c>
      <c r="I9" s="646">
        <v>5</v>
      </c>
      <c r="J9" s="646">
        <v>6</v>
      </c>
      <c r="K9" s="646">
        <v>7</v>
      </c>
      <c r="L9" s="646">
        <v>8</v>
      </c>
      <c r="M9" s="646">
        <v>9</v>
      </c>
      <c r="N9" s="646">
        <v>10</v>
      </c>
      <c r="O9" s="646">
        <v>11</v>
      </c>
      <c r="P9" s="646">
        <v>12</v>
      </c>
      <c r="Q9" s="646">
        <v>13</v>
      </c>
      <c r="R9" s="646">
        <v>14</v>
      </c>
      <c r="S9" s="646">
        <v>15</v>
      </c>
    </row>
    <row r="10" spans="1:19" ht="15.75" customHeight="1">
      <c r="C10" s="645"/>
      <c r="E10" s="755" t="s">
        <v>1067</v>
      </c>
      <c r="F10" s="756"/>
      <c r="G10" s="756"/>
      <c r="H10" s="756"/>
      <c r="I10" s="756"/>
      <c r="J10" s="756"/>
      <c r="K10" s="756"/>
      <c r="L10" s="756"/>
      <c r="M10" s="756"/>
      <c r="N10" s="756"/>
      <c r="O10" s="757"/>
      <c r="P10" s="755" t="s">
        <v>1068</v>
      </c>
      <c r="Q10" s="756"/>
      <c r="R10" s="757"/>
      <c r="S10" s="647"/>
    </row>
    <row r="11" spans="1:19" ht="15.75" customHeight="1">
      <c r="C11" s="591" t="s">
        <v>1267</v>
      </c>
      <c r="E11" s="648"/>
      <c r="F11" s="648"/>
      <c r="G11" s="648"/>
      <c r="H11" s="648"/>
      <c r="I11" s="648"/>
      <c r="J11" s="589"/>
      <c r="K11" s="649"/>
      <c r="L11" s="589" t="s">
        <v>58</v>
      </c>
      <c r="M11" s="589" t="s">
        <v>212</v>
      </c>
      <c r="N11" s="589"/>
      <c r="O11" s="589"/>
      <c r="P11" s="589"/>
      <c r="Q11" s="589" t="s">
        <v>212</v>
      </c>
      <c r="R11" s="589"/>
      <c r="S11" s="589"/>
    </row>
    <row r="12" spans="1:19" ht="15.75" customHeight="1">
      <c r="E12" s="589"/>
      <c r="F12" s="589"/>
      <c r="G12" s="589"/>
      <c r="H12" s="589"/>
      <c r="I12" s="589"/>
      <c r="J12" s="589" t="s">
        <v>1073</v>
      </c>
      <c r="K12" s="589"/>
      <c r="L12" s="589" t="s">
        <v>212</v>
      </c>
      <c r="M12" s="589" t="s">
        <v>1074</v>
      </c>
      <c r="N12" s="589"/>
      <c r="O12" s="589"/>
      <c r="P12" s="589" t="s">
        <v>212</v>
      </c>
      <c r="Q12" s="589" t="s">
        <v>1074</v>
      </c>
      <c r="R12" s="589" t="s">
        <v>58</v>
      </c>
      <c r="S12" s="589" t="s">
        <v>133</v>
      </c>
    </row>
    <row r="13" spans="1:19" ht="15.75" customHeight="1">
      <c r="E13" s="589" t="s">
        <v>217</v>
      </c>
      <c r="F13" s="589" t="s">
        <v>218</v>
      </c>
      <c r="G13" s="589" t="s">
        <v>1081</v>
      </c>
      <c r="H13" s="589" t="s">
        <v>1082</v>
      </c>
      <c r="I13" s="589" t="s">
        <v>1083</v>
      </c>
      <c r="J13" s="589" t="s">
        <v>1084</v>
      </c>
      <c r="K13" s="589"/>
      <c r="L13" s="589" t="s">
        <v>1074</v>
      </c>
      <c r="M13" s="589" t="s">
        <v>1085</v>
      </c>
      <c r="N13" s="589" t="s">
        <v>58</v>
      </c>
      <c r="O13" s="589"/>
      <c r="P13" s="589" t="s">
        <v>1074</v>
      </c>
      <c r="Q13" s="589" t="s">
        <v>1086</v>
      </c>
      <c r="R13" s="589" t="s">
        <v>1086</v>
      </c>
      <c r="S13" s="589" t="s">
        <v>1268</v>
      </c>
    </row>
    <row r="14" spans="1:19" ht="15.75" customHeight="1">
      <c r="E14" s="650" t="s">
        <v>1093</v>
      </c>
      <c r="F14" s="650" t="s">
        <v>228</v>
      </c>
      <c r="G14" s="650" t="s">
        <v>1094</v>
      </c>
      <c r="H14" s="650" t="s">
        <v>1095</v>
      </c>
      <c r="I14" s="650" t="s">
        <v>1096</v>
      </c>
      <c r="J14" s="650" t="s">
        <v>1097</v>
      </c>
      <c r="K14" s="589" t="s">
        <v>1098</v>
      </c>
      <c r="L14" s="650" t="s">
        <v>1085</v>
      </c>
      <c r="M14" s="650" t="s">
        <v>1070</v>
      </c>
      <c r="N14" s="650" t="s">
        <v>1085</v>
      </c>
      <c r="O14" s="650" t="s">
        <v>1099</v>
      </c>
      <c r="P14" s="650" t="s">
        <v>1086</v>
      </c>
      <c r="Q14" s="650" t="s">
        <v>1070</v>
      </c>
      <c r="R14" s="650" t="s">
        <v>1100</v>
      </c>
      <c r="S14" s="650" t="s">
        <v>1076</v>
      </c>
    </row>
    <row r="15" spans="1:19" ht="15.75" customHeight="1">
      <c r="A15" s="594" t="s">
        <v>37</v>
      </c>
      <c r="B15" s="594"/>
      <c r="C15" s="594" t="s">
        <v>38</v>
      </c>
      <c r="D15" s="594" t="s">
        <v>895</v>
      </c>
      <c r="E15" s="651"/>
      <c r="F15" s="651"/>
      <c r="G15" s="651"/>
      <c r="H15" s="651"/>
      <c r="I15" s="651"/>
      <c r="J15" s="651"/>
      <c r="K15" s="651"/>
      <c r="L15" s="651"/>
      <c r="M15" s="651"/>
      <c r="N15" s="651"/>
      <c r="O15" s="651"/>
      <c r="P15" s="651"/>
      <c r="Q15" s="651"/>
      <c r="R15" s="651"/>
      <c r="S15" s="652"/>
    </row>
    <row r="16" spans="1:19" ht="15.75" customHeight="1">
      <c r="A16" s="591">
        <v>16</v>
      </c>
      <c r="C16" s="653">
        <v>4801</v>
      </c>
      <c r="D16" s="654" t="s">
        <v>83</v>
      </c>
      <c r="E16" s="655"/>
      <c r="F16" s="655"/>
      <c r="G16" s="655"/>
      <c r="H16" s="655"/>
      <c r="I16" s="655"/>
      <c r="J16" s="655"/>
      <c r="K16" s="655"/>
      <c r="L16" s="655"/>
      <c r="M16" s="655"/>
      <c r="N16" s="655"/>
      <c r="O16" s="658"/>
      <c r="P16" s="655"/>
      <c r="Q16" s="655"/>
      <c r="R16" s="655"/>
      <c r="S16" s="654">
        <f t="shared" ref="S16:S47" si="0">ROUND(SUM(E16:R16),0)</f>
        <v>0</v>
      </c>
    </row>
    <row r="17" spans="1:19" ht="15.75" customHeight="1">
      <c r="A17" s="591">
        <v>17</v>
      </c>
      <c r="C17" s="653">
        <v>4802</v>
      </c>
      <c r="D17" s="654" t="s">
        <v>90</v>
      </c>
      <c r="E17" s="655"/>
      <c r="F17" s="655"/>
      <c r="G17" s="655"/>
      <c r="H17" s="655"/>
      <c r="I17" s="655"/>
      <c r="J17" s="655"/>
      <c r="K17" s="655"/>
      <c r="L17" s="655"/>
      <c r="M17" s="655"/>
      <c r="N17" s="655"/>
      <c r="O17" s="658"/>
      <c r="P17" s="655"/>
      <c r="Q17" s="655"/>
      <c r="R17" s="655"/>
      <c r="S17" s="654">
        <f t="shared" si="0"/>
        <v>0</v>
      </c>
    </row>
    <row r="18" spans="1:19" ht="15.75" customHeight="1">
      <c r="A18" s="591">
        <v>18</v>
      </c>
      <c r="C18" s="653">
        <v>4803</v>
      </c>
      <c r="D18" s="654" t="s">
        <v>92</v>
      </c>
      <c r="E18" s="655"/>
      <c r="F18" s="655"/>
      <c r="G18" s="655"/>
      <c r="H18" s="655"/>
      <c r="I18" s="655"/>
      <c r="J18" s="655"/>
      <c r="K18" s="655"/>
      <c r="L18" s="655"/>
      <c r="M18" s="655"/>
      <c r="N18" s="655"/>
      <c r="O18" s="658"/>
      <c r="P18" s="655"/>
      <c r="Q18" s="655"/>
      <c r="R18" s="655"/>
      <c r="S18" s="654">
        <f t="shared" si="0"/>
        <v>0</v>
      </c>
    </row>
    <row r="19" spans="1:19" ht="15.75" customHeight="1">
      <c r="A19" s="591">
        <v>19</v>
      </c>
      <c r="C19" s="653">
        <v>4804</v>
      </c>
      <c r="D19" s="654" t="s">
        <v>93</v>
      </c>
      <c r="E19" s="655"/>
      <c r="F19" s="655"/>
      <c r="G19" s="655"/>
      <c r="H19" s="655"/>
      <c r="I19" s="655"/>
      <c r="J19" s="655"/>
      <c r="K19" s="655"/>
      <c r="L19" s="655"/>
      <c r="M19" s="655"/>
      <c r="N19" s="655"/>
      <c r="O19" s="658"/>
      <c r="P19" s="655"/>
      <c r="Q19" s="655"/>
      <c r="R19" s="655"/>
      <c r="S19" s="654">
        <f t="shared" si="0"/>
        <v>0</v>
      </c>
    </row>
    <row r="20" spans="1:19" ht="15.75" customHeight="1">
      <c r="A20" s="591">
        <v>20</v>
      </c>
      <c r="C20" s="653">
        <v>4805</v>
      </c>
      <c r="D20" s="654" t="s">
        <v>94</v>
      </c>
      <c r="E20" s="655"/>
      <c r="F20" s="655"/>
      <c r="G20" s="655"/>
      <c r="H20" s="655"/>
      <c r="I20" s="655"/>
      <c r="J20" s="655"/>
      <c r="K20" s="655"/>
      <c r="L20" s="655"/>
      <c r="M20" s="655"/>
      <c r="N20" s="655"/>
      <c r="O20" s="658"/>
      <c r="P20" s="655"/>
      <c r="Q20" s="655"/>
      <c r="R20" s="655"/>
      <c r="S20" s="654">
        <f t="shared" si="0"/>
        <v>0</v>
      </c>
    </row>
    <row r="21" spans="1:19" ht="15.75" customHeight="1">
      <c r="A21" s="591">
        <v>21</v>
      </c>
      <c r="C21" s="653">
        <v>4806</v>
      </c>
      <c r="D21" s="654" t="s">
        <v>95</v>
      </c>
      <c r="E21" s="655"/>
      <c r="F21" s="655"/>
      <c r="G21" s="655"/>
      <c r="H21" s="655"/>
      <c r="I21" s="655"/>
      <c r="J21" s="655"/>
      <c r="K21" s="655"/>
      <c r="L21" s="655"/>
      <c r="M21" s="655"/>
      <c r="N21" s="655"/>
      <c r="O21" s="658"/>
      <c r="P21" s="655"/>
      <c r="Q21" s="655"/>
      <c r="R21" s="655"/>
      <c r="S21" s="654">
        <f t="shared" si="0"/>
        <v>0</v>
      </c>
    </row>
    <row r="22" spans="1:19" ht="15.75" customHeight="1">
      <c r="A22" s="591">
        <v>22</v>
      </c>
      <c r="C22" s="653">
        <v>4807</v>
      </c>
      <c r="D22" s="654" t="s">
        <v>236</v>
      </c>
      <c r="E22" s="655"/>
      <c r="F22" s="655"/>
      <c r="G22" s="655"/>
      <c r="H22" s="655"/>
      <c r="I22" s="655"/>
      <c r="J22" s="655"/>
      <c r="K22" s="655"/>
      <c r="L22" s="655"/>
      <c r="M22" s="655"/>
      <c r="N22" s="655"/>
      <c r="O22" s="658"/>
      <c r="P22" s="655"/>
      <c r="Q22" s="655"/>
      <c r="R22" s="655"/>
      <c r="S22" s="654">
        <f t="shared" si="0"/>
        <v>0</v>
      </c>
    </row>
    <row r="23" spans="1:19" ht="15.75" customHeight="1">
      <c r="A23" s="591">
        <v>23</v>
      </c>
      <c r="C23" s="653">
        <v>4808</v>
      </c>
      <c r="D23" s="654" t="s">
        <v>97</v>
      </c>
      <c r="E23" s="655"/>
      <c r="F23" s="655"/>
      <c r="G23" s="655"/>
      <c r="H23" s="655"/>
      <c r="I23" s="655"/>
      <c r="J23" s="655"/>
      <c r="K23" s="655"/>
      <c r="L23" s="655"/>
      <c r="M23" s="655"/>
      <c r="N23" s="655"/>
      <c r="O23" s="658"/>
      <c r="P23" s="655"/>
      <c r="Q23" s="655"/>
      <c r="R23" s="655"/>
      <c r="S23" s="654">
        <f t="shared" si="0"/>
        <v>0</v>
      </c>
    </row>
    <row r="24" spans="1:19" ht="15.75" customHeight="1">
      <c r="A24" s="591">
        <v>24</v>
      </c>
      <c r="C24" s="653">
        <v>4809</v>
      </c>
      <c r="D24" s="654" t="s">
        <v>98</v>
      </c>
      <c r="E24" s="655"/>
      <c r="F24" s="655"/>
      <c r="G24" s="655"/>
      <c r="H24" s="655"/>
      <c r="I24" s="655"/>
      <c r="J24" s="655"/>
      <c r="K24" s="655"/>
      <c r="L24" s="655"/>
      <c r="M24" s="655"/>
      <c r="N24" s="655"/>
      <c r="O24" s="658"/>
      <c r="P24" s="655"/>
      <c r="Q24" s="655"/>
      <c r="R24" s="655"/>
      <c r="S24" s="654">
        <f t="shared" si="0"/>
        <v>0</v>
      </c>
    </row>
    <row r="25" spans="1:19" ht="15.75" customHeight="1">
      <c r="A25" s="591">
        <v>25</v>
      </c>
      <c r="C25" s="653">
        <v>4910</v>
      </c>
      <c r="D25" s="654" t="s">
        <v>129</v>
      </c>
      <c r="E25" s="655"/>
      <c r="F25" s="655"/>
      <c r="G25" s="655"/>
      <c r="H25" s="655"/>
      <c r="I25" s="655"/>
      <c r="J25" s="655"/>
      <c r="K25" s="655"/>
      <c r="L25" s="655"/>
      <c r="M25" s="655"/>
      <c r="N25" s="655"/>
      <c r="O25" s="658"/>
      <c r="P25" s="655"/>
      <c r="Q25" s="655"/>
      <c r="R25" s="655"/>
      <c r="S25" s="654">
        <f t="shared" si="0"/>
        <v>0</v>
      </c>
    </row>
    <row r="26" spans="1:19" ht="15.75" customHeight="1">
      <c r="A26" s="591">
        <v>26</v>
      </c>
      <c r="C26" s="653">
        <v>4920</v>
      </c>
      <c r="D26" s="654" t="s">
        <v>130</v>
      </c>
      <c r="E26" s="655"/>
      <c r="F26" s="655"/>
      <c r="G26" s="655"/>
      <c r="H26" s="655"/>
      <c r="I26" s="655"/>
      <c r="J26" s="655"/>
      <c r="K26" s="655"/>
      <c r="L26" s="655"/>
      <c r="M26" s="655"/>
      <c r="N26" s="655"/>
      <c r="O26" s="658"/>
      <c r="P26" s="655">
        <v>32851</v>
      </c>
      <c r="Q26" s="655"/>
      <c r="R26" s="655"/>
      <c r="S26" s="654">
        <f t="shared" si="0"/>
        <v>32851</v>
      </c>
    </row>
    <row r="27" spans="1:19" ht="15.75" customHeight="1">
      <c r="A27" s="591">
        <v>27</v>
      </c>
      <c r="C27" s="653">
        <v>4930</v>
      </c>
      <c r="D27" s="654" t="s">
        <v>131</v>
      </c>
      <c r="E27" s="655"/>
      <c r="F27" s="655"/>
      <c r="G27" s="655"/>
      <c r="H27" s="655"/>
      <c r="I27" s="655"/>
      <c r="J27" s="655"/>
      <c r="K27" s="655"/>
      <c r="L27" s="655"/>
      <c r="M27" s="655"/>
      <c r="N27" s="655"/>
      <c r="O27" s="658"/>
      <c r="P27" s="655"/>
      <c r="Q27" s="655"/>
      <c r="R27" s="655"/>
      <c r="S27" s="654">
        <f t="shared" si="0"/>
        <v>0</v>
      </c>
    </row>
    <row r="28" spans="1:19" ht="15.75" customHeight="1">
      <c r="A28" s="591">
        <v>28</v>
      </c>
      <c r="C28" s="653">
        <v>4940</v>
      </c>
      <c r="D28" s="654" t="s">
        <v>132</v>
      </c>
      <c r="E28" s="655"/>
      <c r="F28" s="655"/>
      <c r="G28" s="655"/>
      <c r="H28" s="655"/>
      <c r="I28" s="655"/>
      <c r="J28" s="655"/>
      <c r="K28" s="655"/>
      <c r="L28" s="655"/>
      <c r="M28" s="655"/>
      <c r="N28" s="655"/>
      <c r="O28" s="658"/>
      <c r="P28" s="655"/>
      <c r="Q28" s="655"/>
      <c r="R28" s="655"/>
      <c r="S28" s="654">
        <f t="shared" si="0"/>
        <v>0</v>
      </c>
    </row>
    <row r="29" spans="1:19" ht="15.75" customHeight="1">
      <c r="A29" s="591">
        <v>29</v>
      </c>
      <c r="C29" s="653">
        <v>4950</v>
      </c>
      <c r="D29" s="654" t="s">
        <v>134</v>
      </c>
      <c r="E29" s="655"/>
      <c r="F29" s="655"/>
      <c r="G29" s="655"/>
      <c r="H29" s="655"/>
      <c r="I29" s="655"/>
      <c r="J29" s="655"/>
      <c r="K29" s="655"/>
      <c r="L29" s="655"/>
      <c r="M29" s="655"/>
      <c r="N29" s="655"/>
      <c r="O29" s="658"/>
      <c r="P29" s="655"/>
      <c r="Q29" s="655"/>
      <c r="R29" s="655"/>
      <c r="S29" s="654">
        <f t="shared" si="0"/>
        <v>0</v>
      </c>
    </row>
    <row r="30" spans="1:19" ht="15.75" customHeight="1">
      <c r="A30" s="591">
        <v>30</v>
      </c>
      <c r="C30" s="653">
        <v>4960</v>
      </c>
      <c r="D30" s="654" t="s">
        <v>246</v>
      </c>
      <c r="E30" s="655"/>
      <c r="F30" s="655"/>
      <c r="G30" s="655"/>
      <c r="H30" s="655"/>
      <c r="I30" s="655"/>
      <c r="J30" s="655"/>
      <c r="K30" s="655"/>
      <c r="L30" s="655"/>
      <c r="M30" s="655"/>
      <c r="N30" s="655"/>
      <c r="O30" s="658"/>
      <c r="P30" s="655"/>
      <c r="Q30" s="655"/>
      <c r="R30" s="655"/>
      <c r="S30" s="654">
        <f t="shared" si="0"/>
        <v>0</v>
      </c>
    </row>
    <row r="31" spans="1:19" ht="15.75" customHeight="1">
      <c r="A31" s="591">
        <v>31</v>
      </c>
      <c r="C31" s="653">
        <v>4965</v>
      </c>
      <c r="D31" s="654" t="s">
        <v>247</v>
      </c>
      <c r="E31" s="655"/>
      <c r="F31" s="655"/>
      <c r="G31" s="655"/>
      <c r="H31" s="655"/>
      <c r="I31" s="655"/>
      <c r="J31" s="655"/>
      <c r="K31" s="655"/>
      <c r="L31" s="655"/>
      <c r="M31" s="655"/>
      <c r="N31" s="655"/>
      <c r="O31" s="658"/>
      <c r="P31" s="655"/>
      <c r="Q31" s="655"/>
      <c r="R31" s="655"/>
      <c r="S31" s="654">
        <f t="shared" si="0"/>
        <v>0</v>
      </c>
    </row>
    <row r="32" spans="1:19" ht="15.75" customHeight="1">
      <c r="A32" s="591">
        <v>32</v>
      </c>
      <c r="C32" s="653">
        <v>4971</v>
      </c>
      <c r="D32" s="654" t="s">
        <v>137</v>
      </c>
      <c r="E32" s="655"/>
      <c r="F32" s="655"/>
      <c r="G32" s="655"/>
      <c r="H32" s="655"/>
      <c r="I32" s="655"/>
      <c r="J32" s="655"/>
      <c r="K32" s="655"/>
      <c r="L32" s="655"/>
      <c r="M32" s="655"/>
      <c r="N32" s="655"/>
      <c r="O32" s="658"/>
      <c r="P32" s="655"/>
      <c r="Q32" s="655"/>
      <c r="R32" s="655"/>
      <c r="S32" s="654">
        <f t="shared" si="0"/>
        <v>0</v>
      </c>
    </row>
    <row r="33" spans="1:19" ht="15.75" customHeight="1">
      <c r="A33" s="591">
        <v>33</v>
      </c>
      <c r="C33" s="653">
        <v>4972</v>
      </c>
      <c r="D33" s="654" t="s">
        <v>138</v>
      </c>
      <c r="E33" s="655"/>
      <c r="F33" s="655"/>
      <c r="G33" s="655"/>
      <c r="H33" s="655"/>
      <c r="I33" s="655"/>
      <c r="J33" s="655"/>
      <c r="K33" s="655"/>
      <c r="L33" s="655"/>
      <c r="M33" s="655"/>
      <c r="N33" s="655"/>
      <c r="O33" s="658"/>
      <c r="P33" s="655"/>
      <c r="Q33" s="655"/>
      <c r="R33" s="655"/>
      <c r="S33" s="654">
        <f t="shared" si="0"/>
        <v>0</v>
      </c>
    </row>
    <row r="34" spans="1:19" ht="15.75" customHeight="1">
      <c r="A34" s="591">
        <v>34</v>
      </c>
      <c r="C34" s="653">
        <v>4973</v>
      </c>
      <c r="D34" s="654" t="s">
        <v>139</v>
      </c>
      <c r="E34" s="655"/>
      <c r="F34" s="655"/>
      <c r="G34" s="655"/>
      <c r="H34" s="655"/>
      <c r="I34" s="655"/>
      <c r="J34" s="655"/>
      <c r="K34" s="655"/>
      <c r="L34" s="655"/>
      <c r="M34" s="655"/>
      <c r="N34" s="655"/>
      <c r="O34" s="658"/>
      <c r="P34" s="655"/>
      <c r="Q34" s="655"/>
      <c r="R34" s="655"/>
      <c r="S34" s="654">
        <f t="shared" si="0"/>
        <v>0</v>
      </c>
    </row>
    <row r="35" spans="1:19" ht="15.75" customHeight="1">
      <c r="A35" s="591">
        <v>35</v>
      </c>
      <c r="C35" s="653">
        <v>4974</v>
      </c>
      <c r="D35" s="654" t="s">
        <v>140</v>
      </c>
      <c r="E35" s="655"/>
      <c r="F35" s="655"/>
      <c r="G35" s="655"/>
      <c r="H35" s="655"/>
      <c r="I35" s="655"/>
      <c r="J35" s="655"/>
      <c r="K35" s="655"/>
      <c r="L35" s="655"/>
      <c r="M35" s="655"/>
      <c r="N35" s="655"/>
      <c r="O35" s="658"/>
      <c r="P35" s="655"/>
      <c r="Q35" s="655"/>
      <c r="R35" s="655"/>
      <c r="S35" s="654">
        <f t="shared" si="0"/>
        <v>0</v>
      </c>
    </row>
    <row r="36" spans="1:19" ht="15.75" customHeight="1">
      <c r="A36" s="591">
        <v>36</v>
      </c>
      <c r="C36" s="653">
        <v>4975</v>
      </c>
      <c r="D36" s="654" t="s">
        <v>141</v>
      </c>
      <c r="E36" s="655"/>
      <c r="F36" s="655"/>
      <c r="G36" s="655"/>
      <c r="H36" s="655"/>
      <c r="I36" s="655"/>
      <c r="J36" s="655"/>
      <c r="K36" s="655"/>
      <c r="L36" s="655"/>
      <c r="M36" s="655"/>
      <c r="N36" s="655"/>
      <c r="O36" s="658"/>
      <c r="P36" s="655"/>
      <c r="Q36" s="655"/>
      <c r="R36" s="655"/>
      <c r="S36" s="654">
        <f t="shared" si="0"/>
        <v>0</v>
      </c>
    </row>
    <row r="37" spans="1:19" ht="15.75" customHeight="1">
      <c r="A37" s="591">
        <v>37</v>
      </c>
      <c r="C37" s="653">
        <v>4976</v>
      </c>
      <c r="D37" s="654" t="s">
        <v>142</v>
      </c>
      <c r="E37" s="655"/>
      <c r="F37" s="655"/>
      <c r="G37" s="655"/>
      <c r="H37" s="655"/>
      <c r="I37" s="655"/>
      <c r="J37" s="655"/>
      <c r="K37" s="655"/>
      <c r="L37" s="655"/>
      <c r="M37" s="655"/>
      <c r="N37" s="655"/>
      <c r="O37" s="658"/>
      <c r="P37" s="655"/>
      <c r="Q37" s="655"/>
      <c r="R37" s="655"/>
      <c r="S37" s="654">
        <f t="shared" si="0"/>
        <v>0</v>
      </c>
    </row>
    <row r="38" spans="1:19" ht="15.75" customHeight="1">
      <c r="A38" s="591">
        <v>38</v>
      </c>
      <c r="C38" s="653">
        <v>4977</v>
      </c>
      <c r="D38" s="654" t="s">
        <v>143</v>
      </c>
      <c r="E38" s="655"/>
      <c r="F38" s="655"/>
      <c r="G38" s="655"/>
      <c r="H38" s="655"/>
      <c r="I38" s="655"/>
      <c r="J38" s="655"/>
      <c r="K38" s="655"/>
      <c r="L38" s="655"/>
      <c r="M38" s="655"/>
      <c r="N38" s="655"/>
      <c r="O38" s="658"/>
      <c r="P38" s="655"/>
      <c r="Q38" s="655"/>
      <c r="R38" s="655"/>
      <c r="S38" s="654">
        <f t="shared" si="0"/>
        <v>0</v>
      </c>
    </row>
    <row r="39" spans="1:19" ht="15.75" customHeight="1">
      <c r="A39" s="591">
        <v>39</v>
      </c>
      <c r="C39" s="653">
        <v>4980</v>
      </c>
      <c r="D39" s="654" t="s">
        <v>248</v>
      </c>
      <c r="E39" s="655"/>
      <c r="F39" s="655"/>
      <c r="G39" s="655"/>
      <c r="H39" s="655"/>
      <c r="I39" s="655"/>
      <c r="J39" s="655"/>
      <c r="K39" s="655"/>
      <c r="L39" s="655"/>
      <c r="M39" s="655"/>
      <c r="N39" s="655"/>
      <c r="O39" s="658"/>
      <c r="P39" s="655"/>
      <c r="Q39" s="655"/>
      <c r="R39" s="655"/>
      <c r="S39" s="654">
        <f t="shared" si="0"/>
        <v>0</v>
      </c>
    </row>
    <row r="40" spans="1:19" ht="15.75" customHeight="1">
      <c r="A40" s="591">
        <v>40</v>
      </c>
      <c r="C40" s="653">
        <v>4982</v>
      </c>
      <c r="D40" s="654" t="s">
        <v>145</v>
      </c>
      <c r="E40" s="655"/>
      <c r="F40" s="655"/>
      <c r="G40" s="655"/>
      <c r="H40" s="655"/>
      <c r="I40" s="655"/>
      <c r="J40" s="655"/>
      <c r="K40" s="655"/>
      <c r="L40" s="655"/>
      <c r="M40" s="655"/>
      <c r="N40" s="655"/>
      <c r="O40" s="658"/>
      <c r="P40" s="655"/>
      <c r="Q40" s="655"/>
      <c r="R40" s="655"/>
      <c r="S40" s="654">
        <f t="shared" si="0"/>
        <v>0</v>
      </c>
    </row>
    <row r="41" spans="1:19" ht="15.75" customHeight="1">
      <c r="A41" s="591">
        <v>41</v>
      </c>
      <c r="C41" s="653">
        <v>4984</v>
      </c>
      <c r="D41" s="654" t="s">
        <v>146</v>
      </c>
      <c r="E41" s="655"/>
      <c r="F41" s="655"/>
      <c r="G41" s="655"/>
      <c r="H41" s="655"/>
      <c r="I41" s="655"/>
      <c r="J41" s="655"/>
      <c r="K41" s="655"/>
      <c r="L41" s="655"/>
      <c r="M41" s="655"/>
      <c r="N41" s="655"/>
      <c r="O41" s="658"/>
      <c r="P41" s="655"/>
      <c r="Q41" s="655"/>
      <c r="R41" s="655"/>
      <c r="S41" s="654">
        <f t="shared" si="0"/>
        <v>0</v>
      </c>
    </row>
    <row r="42" spans="1:19" ht="15.75" customHeight="1">
      <c r="A42" s="591">
        <v>42</v>
      </c>
      <c r="C42" s="653">
        <v>4991</v>
      </c>
      <c r="D42" s="654" t="s">
        <v>147</v>
      </c>
      <c r="E42" s="655"/>
      <c r="F42" s="655"/>
      <c r="G42" s="655"/>
      <c r="H42" s="655"/>
      <c r="I42" s="655"/>
      <c r="J42" s="655"/>
      <c r="K42" s="655"/>
      <c r="L42" s="655"/>
      <c r="M42" s="655"/>
      <c r="N42" s="655"/>
      <c r="O42" s="658"/>
      <c r="P42" s="655"/>
      <c r="Q42" s="655"/>
      <c r="R42" s="655"/>
      <c r="S42" s="654">
        <f t="shared" si="0"/>
        <v>0</v>
      </c>
    </row>
    <row r="43" spans="1:19" ht="15.75" customHeight="1">
      <c r="A43" s="591">
        <v>43</v>
      </c>
      <c r="C43" s="653">
        <v>4992</v>
      </c>
      <c r="D43" s="654" t="s">
        <v>148</v>
      </c>
      <c r="E43" s="655"/>
      <c r="F43" s="655"/>
      <c r="G43" s="655"/>
      <c r="H43" s="655"/>
      <c r="I43" s="655"/>
      <c r="J43" s="655"/>
      <c r="K43" s="655"/>
      <c r="L43" s="655"/>
      <c r="M43" s="655"/>
      <c r="N43" s="655"/>
      <c r="O43" s="658"/>
      <c r="P43" s="655"/>
      <c r="Q43" s="655"/>
      <c r="R43" s="655"/>
      <c r="S43" s="654">
        <f t="shared" si="0"/>
        <v>0</v>
      </c>
    </row>
    <row r="44" spans="1:19" ht="15.75" customHeight="1">
      <c r="A44" s="591">
        <v>44</v>
      </c>
      <c r="C44" s="653">
        <v>4993</v>
      </c>
      <c r="D44" s="654" t="s">
        <v>150</v>
      </c>
      <c r="E44" s="655"/>
      <c r="F44" s="655"/>
      <c r="G44" s="655"/>
      <c r="H44" s="655"/>
      <c r="I44" s="655"/>
      <c r="J44" s="655"/>
      <c r="K44" s="655"/>
      <c r="L44" s="655"/>
      <c r="M44" s="655"/>
      <c r="N44" s="655"/>
      <c r="O44" s="658"/>
      <c r="P44" s="655"/>
      <c r="Q44" s="655"/>
      <c r="R44" s="655"/>
      <c r="S44" s="654">
        <f t="shared" si="0"/>
        <v>0</v>
      </c>
    </row>
    <row r="45" spans="1:19" ht="15.75" customHeight="1">
      <c r="A45" s="591">
        <v>45</v>
      </c>
      <c r="C45" s="653">
        <v>4994</v>
      </c>
      <c r="D45" s="654" t="s">
        <v>151</v>
      </c>
      <c r="E45" s="655"/>
      <c r="F45" s="655"/>
      <c r="G45" s="655"/>
      <c r="H45" s="655"/>
      <c r="I45" s="655"/>
      <c r="J45" s="655"/>
      <c r="K45" s="655"/>
      <c r="L45" s="655"/>
      <c r="M45" s="655"/>
      <c r="N45" s="655"/>
      <c r="O45" s="658"/>
      <c r="P45" s="655"/>
      <c r="Q45" s="655"/>
      <c r="R45" s="655"/>
      <c r="S45" s="654">
        <f t="shared" si="0"/>
        <v>0</v>
      </c>
    </row>
    <row r="46" spans="1:19" ht="15.75" customHeight="1">
      <c r="A46" s="591">
        <v>46</v>
      </c>
      <c r="C46" s="653">
        <v>4995</v>
      </c>
      <c r="D46" s="654" t="s">
        <v>197</v>
      </c>
      <c r="E46" s="655"/>
      <c r="F46" s="655"/>
      <c r="G46" s="655"/>
      <c r="H46" s="655"/>
      <c r="I46" s="655"/>
      <c r="J46" s="655"/>
      <c r="K46" s="655"/>
      <c r="L46" s="655"/>
      <c r="M46" s="655"/>
      <c r="N46" s="655"/>
      <c r="O46" s="658"/>
      <c r="P46" s="655">
        <v>5000</v>
      </c>
      <c r="Q46" s="655"/>
      <c r="R46" s="655"/>
      <c r="S46" s="654">
        <f t="shared" si="0"/>
        <v>5000</v>
      </c>
    </row>
    <row r="47" spans="1:19" ht="15.75" customHeight="1">
      <c r="A47" s="591">
        <v>47</v>
      </c>
      <c r="C47" s="653">
        <v>5012</v>
      </c>
      <c r="D47" s="654" t="s">
        <v>249</v>
      </c>
      <c r="E47" s="655"/>
      <c r="F47" s="655"/>
      <c r="G47" s="655"/>
      <c r="H47" s="655"/>
      <c r="I47" s="655"/>
      <c r="J47" s="655"/>
      <c r="K47" s="655"/>
      <c r="L47" s="655"/>
      <c r="M47" s="655"/>
      <c r="N47" s="655"/>
      <c r="O47" s="658"/>
      <c r="P47" s="655"/>
      <c r="Q47" s="655"/>
      <c r="R47" s="655"/>
      <c r="S47" s="654">
        <f t="shared" si="0"/>
        <v>0</v>
      </c>
    </row>
    <row r="48" spans="1:19" ht="15.75" customHeight="1">
      <c r="A48" s="591">
        <v>48</v>
      </c>
      <c r="C48" s="653">
        <v>5014</v>
      </c>
      <c r="D48" s="654" t="s">
        <v>250</v>
      </c>
      <c r="E48" s="655"/>
      <c r="F48" s="655"/>
      <c r="G48" s="655"/>
      <c r="H48" s="655"/>
      <c r="I48" s="655"/>
      <c r="J48" s="655"/>
      <c r="K48" s="655"/>
      <c r="L48" s="655"/>
      <c r="M48" s="655"/>
      <c r="N48" s="655"/>
      <c r="O48" s="658"/>
      <c r="P48" s="655"/>
      <c r="Q48" s="655"/>
      <c r="R48" s="655"/>
      <c r="S48" s="654">
        <f t="shared" ref="S48:S69" si="1">ROUND(SUM(E48:R48),0)</f>
        <v>0</v>
      </c>
    </row>
    <row r="49" spans="1:19" ht="15.75" customHeight="1">
      <c r="A49" s="591">
        <v>49</v>
      </c>
      <c r="C49" s="653">
        <v>5022</v>
      </c>
      <c r="D49" s="654" t="s">
        <v>251</v>
      </c>
      <c r="E49" s="655"/>
      <c r="F49" s="655"/>
      <c r="G49" s="655"/>
      <c r="H49" s="655"/>
      <c r="I49" s="655"/>
      <c r="J49" s="655"/>
      <c r="K49" s="655"/>
      <c r="L49" s="655"/>
      <c r="M49" s="655"/>
      <c r="N49" s="655"/>
      <c r="O49" s="658"/>
      <c r="P49" s="655"/>
      <c r="Q49" s="655"/>
      <c r="R49" s="655"/>
      <c r="S49" s="654">
        <f t="shared" si="1"/>
        <v>0</v>
      </c>
    </row>
    <row r="50" spans="1:19" ht="15.75" customHeight="1">
      <c r="A50" s="591">
        <v>50</v>
      </c>
      <c r="C50" s="653">
        <v>5024</v>
      </c>
      <c r="D50" s="654" t="s">
        <v>252</v>
      </c>
      <c r="E50" s="655"/>
      <c r="F50" s="655"/>
      <c r="G50" s="655"/>
      <c r="H50" s="655"/>
      <c r="I50" s="655"/>
      <c r="J50" s="655"/>
      <c r="K50" s="655"/>
      <c r="L50" s="655"/>
      <c r="M50" s="655"/>
      <c r="N50" s="655"/>
      <c r="O50" s="658"/>
      <c r="P50" s="655"/>
      <c r="Q50" s="655"/>
      <c r="R50" s="655"/>
      <c r="S50" s="654">
        <f t="shared" si="1"/>
        <v>0</v>
      </c>
    </row>
    <row r="51" spans="1:19" ht="15.75" customHeight="1">
      <c r="A51" s="591">
        <v>51</v>
      </c>
      <c r="C51" s="653">
        <v>5026</v>
      </c>
      <c r="D51" s="654" t="s">
        <v>158</v>
      </c>
      <c r="E51" s="655"/>
      <c r="F51" s="655"/>
      <c r="G51" s="655"/>
      <c r="H51" s="655"/>
      <c r="I51" s="655"/>
      <c r="J51" s="655"/>
      <c r="K51" s="655"/>
      <c r="L51" s="655"/>
      <c r="M51" s="655"/>
      <c r="N51" s="655"/>
      <c r="O51" s="658"/>
      <c r="P51" s="655"/>
      <c r="Q51" s="655"/>
      <c r="R51" s="655"/>
      <c r="S51" s="654">
        <f t="shared" si="1"/>
        <v>0</v>
      </c>
    </row>
    <row r="52" spans="1:19" ht="15.75" customHeight="1">
      <c r="A52" s="591">
        <v>52</v>
      </c>
      <c r="C52" s="653">
        <v>5028</v>
      </c>
      <c r="D52" s="654" t="s">
        <v>159</v>
      </c>
      <c r="E52" s="655"/>
      <c r="F52" s="655"/>
      <c r="G52" s="655"/>
      <c r="H52" s="655"/>
      <c r="I52" s="655"/>
      <c r="J52" s="655"/>
      <c r="K52" s="655"/>
      <c r="L52" s="655"/>
      <c r="M52" s="655"/>
      <c r="N52" s="655"/>
      <c r="O52" s="658"/>
      <c r="P52" s="655"/>
      <c r="Q52" s="655"/>
      <c r="R52" s="655"/>
      <c r="S52" s="654">
        <f t="shared" si="1"/>
        <v>0</v>
      </c>
    </row>
    <row r="53" spans="1:19" ht="15.75" customHeight="1">
      <c r="A53" s="591">
        <v>53</v>
      </c>
      <c r="C53" s="653">
        <v>5030</v>
      </c>
      <c r="D53" s="654" t="s">
        <v>253</v>
      </c>
      <c r="E53" s="655"/>
      <c r="F53" s="655"/>
      <c r="G53" s="655"/>
      <c r="H53" s="655"/>
      <c r="I53" s="655"/>
      <c r="J53" s="655"/>
      <c r="K53" s="655"/>
      <c r="L53" s="655"/>
      <c r="M53" s="655"/>
      <c r="N53" s="655"/>
      <c r="O53" s="658"/>
      <c r="P53" s="655"/>
      <c r="Q53" s="655"/>
      <c r="R53" s="655"/>
      <c r="S53" s="654">
        <f t="shared" si="1"/>
        <v>0</v>
      </c>
    </row>
    <row r="54" spans="1:19" ht="15.75" customHeight="1">
      <c r="A54" s="591">
        <v>54</v>
      </c>
      <c r="C54" s="653">
        <v>5042</v>
      </c>
      <c r="D54" s="654" t="s">
        <v>254</v>
      </c>
      <c r="E54" s="655"/>
      <c r="F54" s="655"/>
      <c r="G54" s="655"/>
      <c r="H54" s="655"/>
      <c r="I54" s="655"/>
      <c r="J54" s="655"/>
      <c r="K54" s="655"/>
      <c r="L54" s="655"/>
      <c r="M54" s="655"/>
      <c r="N54" s="655"/>
      <c r="O54" s="658"/>
      <c r="P54" s="655"/>
      <c r="Q54" s="655"/>
      <c r="R54" s="655"/>
      <c r="S54" s="654">
        <f t="shared" si="1"/>
        <v>0</v>
      </c>
    </row>
    <row r="55" spans="1:19" ht="15.75" customHeight="1">
      <c r="A55" s="591">
        <v>55</v>
      </c>
      <c r="C55" s="653">
        <v>5044</v>
      </c>
      <c r="D55" s="654" t="s">
        <v>255</v>
      </c>
      <c r="E55" s="655"/>
      <c r="F55" s="655"/>
      <c r="G55" s="655"/>
      <c r="H55" s="655"/>
      <c r="I55" s="655"/>
      <c r="J55" s="655"/>
      <c r="K55" s="655"/>
      <c r="L55" s="655"/>
      <c r="M55" s="655"/>
      <c r="N55" s="655"/>
      <c r="O55" s="658"/>
      <c r="P55" s="655"/>
      <c r="Q55" s="655"/>
      <c r="R55" s="655"/>
      <c r="S55" s="654">
        <f t="shared" si="1"/>
        <v>0</v>
      </c>
    </row>
    <row r="56" spans="1:19" ht="15.75" customHeight="1">
      <c r="A56" s="591">
        <v>56</v>
      </c>
      <c r="C56" s="653">
        <v>5046</v>
      </c>
      <c r="D56" s="654" t="s">
        <v>256</v>
      </c>
      <c r="E56" s="655"/>
      <c r="F56" s="655"/>
      <c r="G56" s="655"/>
      <c r="H56" s="655"/>
      <c r="I56" s="655"/>
      <c r="J56" s="655"/>
      <c r="K56" s="655"/>
      <c r="L56" s="655"/>
      <c r="M56" s="655"/>
      <c r="N56" s="655"/>
      <c r="O56" s="658"/>
      <c r="P56" s="655"/>
      <c r="Q56" s="655"/>
      <c r="R56" s="655"/>
      <c r="S56" s="654">
        <f t="shared" si="1"/>
        <v>0</v>
      </c>
    </row>
    <row r="57" spans="1:19" ht="15.75" customHeight="1">
      <c r="A57" s="591">
        <v>57</v>
      </c>
      <c r="C57" s="653">
        <v>5048</v>
      </c>
      <c r="D57" s="654" t="s">
        <v>257</v>
      </c>
      <c r="E57" s="655"/>
      <c r="F57" s="655"/>
      <c r="G57" s="655"/>
      <c r="H57" s="655"/>
      <c r="I57" s="655"/>
      <c r="J57" s="655"/>
      <c r="K57" s="655"/>
      <c r="L57" s="655"/>
      <c r="M57" s="655"/>
      <c r="N57" s="655"/>
      <c r="O57" s="658"/>
      <c r="P57" s="655"/>
      <c r="Q57" s="655"/>
      <c r="R57" s="655"/>
      <c r="S57" s="654">
        <f t="shared" si="1"/>
        <v>0</v>
      </c>
    </row>
    <row r="58" spans="1:19" ht="15.75" customHeight="1">
      <c r="A58" s="591">
        <v>58</v>
      </c>
      <c r="C58" s="653">
        <v>5052</v>
      </c>
      <c r="D58" s="654" t="s">
        <v>165</v>
      </c>
      <c r="E58" s="655"/>
      <c r="F58" s="655"/>
      <c r="G58" s="655"/>
      <c r="H58" s="655"/>
      <c r="I58" s="655"/>
      <c r="J58" s="655"/>
      <c r="K58" s="655"/>
      <c r="L58" s="655"/>
      <c r="M58" s="655"/>
      <c r="N58" s="655"/>
      <c r="O58" s="658"/>
      <c r="P58" s="655"/>
      <c r="Q58" s="655"/>
      <c r="R58" s="655"/>
      <c r="S58" s="654">
        <f t="shared" si="1"/>
        <v>0</v>
      </c>
    </row>
    <row r="59" spans="1:19" ht="15.75" customHeight="1">
      <c r="A59" s="591">
        <v>59</v>
      </c>
      <c r="C59" s="653">
        <v>5054</v>
      </c>
      <c r="D59" s="654" t="s">
        <v>166</v>
      </c>
      <c r="E59" s="655"/>
      <c r="F59" s="655"/>
      <c r="G59" s="655"/>
      <c r="H59" s="655"/>
      <c r="I59" s="655"/>
      <c r="J59" s="655"/>
      <c r="K59" s="655"/>
      <c r="L59" s="655"/>
      <c r="M59" s="655"/>
      <c r="N59" s="655"/>
      <c r="O59" s="658"/>
      <c r="P59" s="655"/>
      <c r="Q59" s="655"/>
      <c r="R59" s="655"/>
      <c r="S59" s="654">
        <f t="shared" si="1"/>
        <v>0</v>
      </c>
    </row>
    <row r="60" spans="1:19" ht="15.75" customHeight="1">
      <c r="A60" s="591">
        <v>60</v>
      </c>
      <c r="C60" s="653">
        <v>5056</v>
      </c>
      <c r="D60" s="654" t="s">
        <v>167</v>
      </c>
      <c r="E60" s="655"/>
      <c r="F60" s="655"/>
      <c r="G60" s="655"/>
      <c r="H60" s="655"/>
      <c r="I60" s="655"/>
      <c r="J60" s="655"/>
      <c r="K60" s="655"/>
      <c r="L60" s="655"/>
      <c r="M60" s="655"/>
      <c r="N60" s="655"/>
      <c r="O60" s="658"/>
      <c r="P60" s="655"/>
      <c r="Q60" s="655"/>
      <c r="R60" s="655"/>
      <c r="S60" s="654">
        <f t="shared" si="1"/>
        <v>0</v>
      </c>
    </row>
    <row r="61" spans="1:19" ht="15.75" customHeight="1">
      <c r="A61" s="591">
        <v>61</v>
      </c>
      <c r="C61" s="653">
        <v>5058</v>
      </c>
      <c r="D61" s="654" t="s">
        <v>168</v>
      </c>
      <c r="E61" s="655"/>
      <c r="F61" s="655"/>
      <c r="G61" s="655"/>
      <c r="H61" s="655"/>
      <c r="I61" s="655"/>
      <c r="J61" s="655"/>
      <c r="K61" s="655"/>
      <c r="L61" s="655"/>
      <c r="M61" s="655"/>
      <c r="N61" s="655"/>
      <c r="O61" s="658"/>
      <c r="P61" s="655"/>
      <c r="Q61" s="655"/>
      <c r="R61" s="655"/>
      <c r="S61" s="654">
        <f t="shared" si="1"/>
        <v>0</v>
      </c>
    </row>
    <row r="62" spans="1:19" ht="15.75" customHeight="1">
      <c r="A62" s="591">
        <v>62</v>
      </c>
      <c r="C62" s="653">
        <v>5062</v>
      </c>
      <c r="D62" s="654" t="s">
        <v>170</v>
      </c>
      <c r="E62" s="655"/>
      <c r="F62" s="655"/>
      <c r="G62" s="655"/>
      <c r="H62" s="655"/>
      <c r="I62" s="655"/>
      <c r="J62" s="655"/>
      <c r="K62" s="655"/>
      <c r="L62" s="655"/>
      <c r="M62" s="655"/>
      <c r="N62" s="655"/>
      <c r="O62" s="658"/>
      <c r="P62" s="655"/>
      <c r="Q62" s="655"/>
      <c r="R62" s="655"/>
      <c r="S62" s="654">
        <f t="shared" si="1"/>
        <v>0</v>
      </c>
    </row>
    <row r="63" spans="1:19" ht="15.75" customHeight="1">
      <c r="A63" s="591">
        <v>63</v>
      </c>
      <c r="C63" s="653">
        <v>5064</v>
      </c>
      <c r="D63" s="654" t="s">
        <v>171</v>
      </c>
      <c r="E63" s="655"/>
      <c r="F63" s="655"/>
      <c r="G63" s="655"/>
      <c r="H63" s="655"/>
      <c r="I63" s="655"/>
      <c r="J63" s="655"/>
      <c r="K63" s="655"/>
      <c r="L63" s="655"/>
      <c r="M63" s="655"/>
      <c r="N63" s="655"/>
      <c r="O63" s="658"/>
      <c r="P63" s="655"/>
      <c r="Q63" s="655"/>
      <c r="R63" s="655"/>
      <c r="S63" s="654">
        <f t="shared" si="1"/>
        <v>0</v>
      </c>
    </row>
    <row r="64" spans="1:19" ht="15.75" customHeight="1">
      <c r="A64" s="591">
        <v>64</v>
      </c>
      <c r="C64" s="653">
        <v>5066</v>
      </c>
      <c r="D64" s="654" t="s">
        <v>172</v>
      </c>
      <c r="E64" s="655"/>
      <c r="F64" s="655"/>
      <c r="G64" s="655"/>
      <c r="H64" s="655"/>
      <c r="I64" s="655"/>
      <c r="J64" s="655"/>
      <c r="K64" s="655"/>
      <c r="L64" s="655"/>
      <c r="M64" s="655"/>
      <c r="N64" s="655"/>
      <c r="O64" s="658"/>
      <c r="P64" s="655"/>
      <c r="Q64" s="655"/>
      <c r="R64" s="156"/>
      <c r="S64" s="654">
        <f t="shared" si="1"/>
        <v>0</v>
      </c>
    </row>
    <row r="65" spans="1:19" ht="15.75" customHeight="1">
      <c r="A65" s="591">
        <v>65</v>
      </c>
      <c r="C65" s="653">
        <v>5072</v>
      </c>
      <c r="D65" s="654" t="s">
        <v>174</v>
      </c>
      <c r="E65" s="655"/>
      <c r="F65" s="655"/>
      <c r="G65" s="655"/>
      <c r="H65" s="655"/>
      <c r="I65" s="655"/>
      <c r="J65" s="655"/>
      <c r="K65" s="655"/>
      <c r="L65" s="655"/>
      <c r="M65" s="655"/>
      <c r="N65" s="655"/>
      <c r="O65" s="658"/>
      <c r="P65" s="655"/>
      <c r="Q65" s="655"/>
      <c r="R65" s="655"/>
      <c r="S65" s="654">
        <f t="shared" si="1"/>
        <v>0</v>
      </c>
    </row>
    <row r="66" spans="1:19" ht="15.75" customHeight="1">
      <c r="A66" s="591">
        <v>66</v>
      </c>
      <c r="C66" s="653">
        <v>5075</v>
      </c>
      <c r="D66" s="654" t="s">
        <v>177</v>
      </c>
      <c r="E66" s="655"/>
      <c r="F66" s="655"/>
      <c r="G66" s="655"/>
      <c r="H66" s="655"/>
      <c r="I66" s="655"/>
      <c r="J66" s="655"/>
      <c r="K66" s="655"/>
      <c r="L66" s="655"/>
      <c r="M66" s="655"/>
      <c r="N66" s="655"/>
      <c r="O66" s="658"/>
      <c r="P66" s="655"/>
      <c r="Q66" s="655"/>
      <c r="R66" s="655"/>
      <c r="S66" s="654">
        <f t="shared" si="1"/>
        <v>0</v>
      </c>
    </row>
    <row r="67" spans="1:19" ht="15.75" customHeight="1">
      <c r="A67" s="591">
        <v>67</v>
      </c>
      <c r="C67" s="653">
        <v>5076</v>
      </c>
      <c r="D67" s="654" t="s">
        <v>179</v>
      </c>
      <c r="E67" s="655"/>
      <c r="F67" s="655"/>
      <c r="G67" s="655"/>
      <c r="H67" s="655"/>
      <c r="I67" s="655"/>
      <c r="J67" s="655"/>
      <c r="K67" s="655"/>
      <c r="L67" s="655"/>
      <c r="M67" s="655"/>
      <c r="N67" s="655"/>
      <c r="O67" s="658"/>
      <c r="P67" s="655"/>
      <c r="Q67" s="655"/>
      <c r="R67" s="655"/>
      <c r="S67" s="654">
        <f t="shared" si="1"/>
        <v>0</v>
      </c>
    </row>
    <row r="68" spans="1:19" ht="15.75" customHeight="1">
      <c r="A68" s="591">
        <v>68</v>
      </c>
      <c r="C68" s="653">
        <v>5077</v>
      </c>
      <c r="D68" s="654" t="s">
        <v>180</v>
      </c>
      <c r="E68" s="655"/>
      <c r="F68" s="655"/>
      <c r="G68" s="655"/>
      <c r="H68" s="655"/>
      <c r="I68" s="655"/>
      <c r="J68" s="655"/>
      <c r="K68" s="655"/>
      <c r="L68" s="655"/>
      <c r="M68" s="655"/>
      <c r="N68" s="655"/>
      <c r="O68" s="658"/>
      <c r="P68" s="655">
        <v>367272</v>
      </c>
      <c r="Q68" s="655"/>
      <c r="R68" s="655"/>
      <c r="S68" s="654">
        <f t="shared" si="1"/>
        <v>367272</v>
      </c>
    </row>
    <row r="69" spans="1:19" ht="15.75" customHeight="1">
      <c r="A69" s="591">
        <v>69</v>
      </c>
      <c r="C69" s="653">
        <v>5078</v>
      </c>
      <c r="D69" s="654" t="s">
        <v>181</v>
      </c>
      <c r="E69" s="655"/>
      <c r="F69" s="655"/>
      <c r="G69" s="655"/>
      <c r="H69" s="655"/>
      <c r="I69" s="655"/>
      <c r="J69" s="655"/>
      <c r="K69" s="655"/>
      <c r="L69" s="655"/>
      <c r="M69" s="655"/>
      <c r="N69" s="655"/>
      <c r="O69" s="658"/>
      <c r="P69" s="655">
        <v>99024</v>
      </c>
      <c r="Q69" s="655"/>
      <c r="R69" s="655"/>
      <c r="S69" s="654">
        <f t="shared" si="1"/>
        <v>99024</v>
      </c>
    </row>
    <row r="70" spans="1:19" ht="15.75" customHeight="1">
      <c r="A70" s="591">
        <v>70</v>
      </c>
      <c r="C70" s="656">
        <v>5080</v>
      </c>
      <c r="D70" s="657" t="s">
        <v>258</v>
      </c>
      <c r="E70" s="657">
        <f>ROUND(SUM(E16:E69),0)</f>
        <v>0</v>
      </c>
      <c r="F70" s="657">
        <f t="shared" ref="F70:S70" si="2">ROUND(SUM(F16:F69),0)</f>
        <v>0</v>
      </c>
      <c r="G70" s="657">
        <f t="shared" si="2"/>
        <v>0</v>
      </c>
      <c r="H70" s="657">
        <f t="shared" si="2"/>
        <v>0</v>
      </c>
      <c r="I70" s="657">
        <f t="shared" si="2"/>
        <v>0</v>
      </c>
      <c r="J70" s="657">
        <f t="shared" si="2"/>
        <v>0</v>
      </c>
      <c r="K70" s="657">
        <f t="shared" si="2"/>
        <v>0</v>
      </c>
      <c r="L70" s="657">
        <f t="shared" si="2"/>
        <v>0</v>
      </c>
      <c r="M70" s="657">
        <f t="shared" si="2"/>
        <v>0</v>
      </c>
      <c r="N70" s="657">
        <f t="shared" si="2"/>
        <v>0</v>
      </c>
      <c r="O70" s="658"/>
      <c r="P70" s="657">
        <v>504147</v>
      </c>
      <c r="Q70" s="657">
        <f t="shared" si="2"/>
        <v>0</v>
      </c>
      <c r="R70" s="657">
        <f t="shared" si="2"/>
        <v>0</v>
      </c>
      <c r="S70" s="657">
        <f t="shared" si="2"/>
        <v>504147</v>
      </c>
    </row>
  </sheetData>
  <sheetProtection algorithmName="SHA-512" hashValue="wygDapsnpKI+ksUD7rM/LzyswYW+CrGLRuWrz9Ot1TKInzOv1kLuNRrF+qVSeL9SN4Eo9XE6oSbn7M7qPJ1KdA==" saltValue="8+TKz7U371IfOpq5iPoD4g==" spinCount="100000" sheet="1" objects="1" scenarios="1"/>
  <mergeCells count="2">
    <mergeCell ref="E10:O10"/>
    <mergeCell ref="P10:R10"/>
  </mergeCells>
  <dataValidations count="1">
    <dataValidation type="decimal" operator="greaterThanOrEqual" allowBlank="1" showInputMessage="1" showErrorMessage="1" sqref="R65:R69 S16:S69 P70:S70 O16:O70 E16:K70 L16:R63 L64:Q69 L70:N70" xr:uid="{00000000-0002-0000-0900-000000000000}">
      <formula1>0</formula1>
    </dataValidation>
  </dataValidation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FFFF00"/>
  </sheetPr>
  <dimension ref="A1:K444"/>
  <sheetViews>
    <sheetView topLeftCell="A331" workbookViewId="0">
      <selection activeCell="C353" sqref="C353"/>
    </sheetView>
  </sheetViews>
  <sheetFormatPr defaultRowHeight="15"/>
  <cols>
    <col min="2" max="2" width="10.109375" bestFit="1" customWidth="1"/>
    <col min="3" max="3" width="31.77734375" bestFit="1" customWidth="1"/>
    <col min="4" max="5" width="10" customWidth="1"/>
    <col min="6" max="6" width="9.109375" customWidth="1"/>
    <col min="7" max="7" width="9.109375" bestFit="1" customWidth="1"/>
    <col min="8" max="8" width="10.109375" bestFit="1" customWidth="1"/>
    <col min="9" max="9" width="31.77734375" bestFit="1" customWidth="1"/>
    <col min="10" max="10" width="10.109375" bestFit="1" customWidth="1"/>
    <col min="11" max="11" width="8.77734375" customWidth="1"/>
  </cols>
  <sheetData>
    <row r="1" spans="1:11">
      <c r="A1" s="130" t="s">
        <v>1269</v>
      </c>
      <c r="G1" s="3" t="s">
        <v>100</v>
      </c>
      <c r="H1" s="130" t="s">
        <v>1270</v>
      </c>
    </row>
    <row r="4" spans="1:11" ht="18" customHeight="1">
      <c r="B4" s="758" t="s">
        <v>1271</v>
      </c>
      <c r="C4" s="758"/>
      <c r="H4" s="561" t="s">
        <v>1272</v>
      </c>
      <c r="I4" s="562"/>
      <c r="J4" s="271"/>
      <c r="K4" s="271"/>
    </row>
    <row r="5" spans="1:11">
      <c r="A5" s="3" t="s">
        <v>856</v>
      </c>
      <c r="B5" s="261" t="s">
        <v>1273</v>
      </c>
      <c r="C5" s="262" t="s">
        <v>1274</v>
      </c>
      <c r="D5" s="507" t="s">
        <v>1275</v>
      </c>
      <c r="E5" s="506" t="s">
        <v>1276</v>
      </c>
      <c r="G5" s="3" t="s">
        <v>856</v>
      </c>
      <c r="H5" s="473" t="s">
        <v>1273</v>
      </c>
      <c r="I5" s="262" t="s">
        <v>1274</v>
      </c>
      <c r="J5" s="507" t="s">
        <v>1275</v>
      </c>
      <c r="K5" s="506" t="s">
        <v>1276</v>
      </c>
    </row>
    <row r="6" spans="1:11">
      <c r="A6">
        <v>1</v>
      </c>
      <c r="B6" s="474" t="s">
        <v>1277</v>
      </c>
      <c r="C6" t="s">
        <v>1278</v>
      </c>
      <c r="G6" s="270">
        <v>1</v>
      </c>
      <c r="H6" s="472" t="s">
        <v>1277</v>
      </c>
      <c r="I6" s="270" t="s">
        <v>1278</v>
      </c>
      <c r="J6" s="554">
        <v>340</v>
      </c>
      <c r="K6" s="270">
        <v>351</v>
      </c>
    </row>
    <row r="7" spans="1:11">
      <c r="A7">
        <v>2</v>
      </c>
      <c r="B7" s="474" t="s">
        <v>1279</v>
      </c>
      <c r="C7" t="s">
        <v>1280</v>
      </c>
      <c r="G7" s="270">
        <v>2</v>
      </c>
      <c r="H7" s="472" t="s">
        <v>1279</v>
      </c>
      <c r="I7" s="270" t="s">
        <v>1280</v>
      </c>
      <c r="J7" s="554">
        <v>0</v>
      </c>
      <c r="K7" s="270">
        <v>0</v>
      </c>
    </row>
    <row r="8" spans="1:11">
      <c r="A8">
        <v>3</v>
      </c>
      <c r="B8" s="474" t="s">
        <v>1281</v>
      </c>
      <c r="C8" t="s">
        <v>1282</v>
      </c>
      <c r="G8" s="270">
        <v>3</v>
      </c>
      <c r="H8" s="472" t="s">
        <v>1281</v>
      </c>
      <c r="I8" s="270" t="s">
        <v>1282</v>
      </c>
      <c r="J8" s="554">
        <v>126</v>
      </c>
      <c r="K8" s="270">
        <v>142</v>
      </c>
    </row>
    <row r="9" spans="1:11">
      <c r="A9">
        <v>4</v>
      </c>
      <c r="B9" s="474" t="s">
        <v>1283</v>
      </c>
      <c r="C9" t="s">
        <v>1284</v>
      </c>
      <c r="G9" s="270">
        <v>4</v>
      </c>
      <c r="H9" s="472" t="s">
        <v>1283</v>
      </c>
      <c r="I9" s="270" t="s">
        <v>1284</v>
      </c>
      <c r="J9" s="554">
        <v>0</v>
      </c>
      <c r="K9" s="270">
        <v>0</v>
      </c>
    </row>
    <row r="10" spans="1:11">
      <c r="A10">
        <v>5</v>
      </c>
      <c r="B10" s="474" t="s">
        <v>1285</v>
      </c>
      <c r="C10" t="s">
        <v>1286</v>
      </c>
      <c r="G10" s="270">
        <v>5</v>
      </c>
      <c r="H10" s="472" t="s">
        <v>1285</v>
      </c>
      <c r="I10" s="270" t="s">
        <v>1286</v>
      </c>
      <c r="J10" s="554">
        <v>607</v>
      </c>
      <c r="K10" s="270">
        <v>599</v>
      </c>
    </row>
    <row r="11" spans="1:11">
      <c r="A11">
        <v>6</v>
      </c>
      <c r="B11" s="474" t="s">
        <v>1287</v>
      </c>
      <c r="C11" t="s">
        <v>1288</v>
      </c>
      <c r="G11" s="270">
        <v>6</v>
      </c>
      <c r="H11" s="472" t="s">
        <v>1287</v>
      </c>
      <c r="I11" s="270" t="s">
        <v>1288</v>
      </c>
      <c r="J11" s="554">
        <v>0</v>
      </c>
      <c r="K11" s="270">
        <v>0</v>
      </c>
    </row>
    <row r="12" spans="1:11">
      <c r="A12">
        <v>7</v>
      </c>
      <c r="B12" s="474" t="s">
        <v>1289</v>
      </c>
      <c r="C12" t="s">
        <v>1290</v>
      </c>
      <c r="G12" s="270">
        <v>7</v>
      </c>
      <c r="H12" s="472" t="s">
        <v>1289</v>
      </c>
      <c r="I12" s="270" t="s">
        <v>1290</v>
      </c>
      <c r="J12" s="554">
        <v>419</v>
      </c>
      <c r="K12" s="270">
        <v>468</v>
      </c>
    </row>
    <row r="13" spans="1:11">
      <c r="A13">
        <v>8</v>
      </c>
      <c r="B13" s="474" t="s">
        <v>1291</v>
      </c>
      <c r="C13" t="s">
        <v>1292</v>
      </c>
      <c r="G13" s="270">
        <v>8</v>
      </c>
      <c r="H13" s="472" t="s">
        <v>1291</v>
      </c>
      <c r="I13" s="270" t="s">
        <v>1292</v>
      </c>
      <c r="J13" s="554">
        <v>228</v>
      </c>
      <c r="K13" s="270">
        <v>233</v>
      </c>
    </row>
    <row r="14" spans="1:11">
      <c r="A14">
        <v>9</v>
      </c>
      <c r="B14" s="474" t="s">
        <v>1293</v>
      </c>
      <c r="C14" t="s">
        <v>1294</v>
      </c>
      <c r="G14" s="270">
        <v>9</v>
      </c>
      <c r="H14" s="472" t="s">
        <v>1293</v>
      </c>
      <c r="I14" s="270" t="s">
        <v>1294</v>
      </c>
      <c r="J14" s="554">
        <v>1150</v>
      </c>
      <c r="K14" s="270">
        <v>1232</v>
      </c>
    </row>
    <row r="15" spans="1:11">
      <c r="A15">
        <v>10</v>
      </c>
      <c r="B15" s="474" t="s">
        <v>1262</v>
      </c>
      <c r="C15" t="s">
        <v>1295</v>
      </c>
      <c r="G15" s="270">
        <v>10</v>
      </c>
      <c r="H15" s="472" t="s">
        <v>1262</v>
      </c>
      <c r="I15" s="270" t="s">
        <v>1295</v>
      </c>
      <c r="J15" s="554">
        <v>915</v>
      </c>
      <c r="K15" s="270">
        <v>974</v>
      </c>
    </row>
    <row r="16" spans="1:11">
      <c r="A16">
        <v>11</v>
      </c>
      <c r="B16" s="474" t="s">
        <v>1296</v>
      </c>
      <c r="C16" t="s">
        <v>1297</v>
      </c>
      <c r="G16" s="270">
        <v>11</v>
      </c>
      <c r="H16" s="472" t="s">
        <v>1296</v>
      </c>
      <c r="I16" s="270" t="s">
        <v>1297</v>
      </c>
      <c r="J16" s="554">
        <v>0</v>
      </c>
      <c r="K16" s="270">
        <v>0</v>
      </c>
    </row>
    <row r="17" spans="1:11">
      <c r="A17">
        <v>12</v>
      </c>
      <c r="B17" s="474" t="s">
        <v>1298</v>
      </c>
      <c r="C17" t="s">
        <v>1299</v>
      </c>
      <c r="G17" s="270">
        <v>12</v>
      </c>
      <c r="H17" s="472" t="s">
        <v>1298</v>
      </c>
      <c r="I17" s="270" t="s">
        <v>1299</v>
      </c>
      <c r="J17" s="554">
        <v>0</v>
      </c>
      <c r="K17" s="270">
        <v>0</v>
      </c>
    </row>
    <row r="18" spans="1:11">
      <c r="A18">
        <v>13</v>
      </c>
      <c r="B18" s="474" t="s">
        <v>1300</v>
      </c>
      <c r="C18" t="s">
        <v>1301</v>
      </c>
      <c r="G18" s="270">
        <v>13</v>
      </c>
      <c r="H18" s="472" t="s">
        <v>1300</v>
      </c>
      <c r="I18" s="270" t="s">
        <v>1301</v>
      </c>
      <c r="J18" s="554">
        <v>0</v>
      </c>
      <c r="K18" s="270">
        <v>0</v>
      </c>
    </row>
    <row r="19" spans="1:11">
      <c r="A19">
        <v>14</v>
      </c>
      <c r="B19" s="474" t="s">
        <v>1302</v>
      </c>
      <c r="C19" t="s">
        <v>1303</v>
      </c>
      <c r="G19" s="270">
        <v>14</v>
      </c>
      <c r="H19" s="472" t="s">
        <v>1302</v>
      </c>
      <c r="I19" s="270" t="s">
        <v>1303</v>
      </c>
      <c r="J19" s="554">
        <v>476</v>
      </c>
      <c r="K19" s="270">
        <v>509</v>
      </c>
    </row>
    <row r="20" spans="1:11">
      <c r="A20">
        <v>15</v>
      </c>
      <c r="B20" s="474" t="s">
        <v>1304</v>
      </c>
      <c r="C20" t="s">
        <v>1305</v>
      </c>
      <c r="G20" s="270">
        <v>15</v>
      </c>
      <c r="H20" s="472" t="s">
        <v>1304</v>
      </c>
      <c r="I20" s="270" t="s">
        <v>1305</v>
      </c>
      <c r="J20" s="554">
        <v>0</v>
      </c>
      <c r="K20" s="270">
        <v>0</v>
      </c>
    </row>
    <row r="21" spans="1:11">
      <c r="A21">
        <v>16</v>
      </c>
      <c r="B21" s="474" t="s">
        <v>1306</v>
      </c>
      <c r="C21" t="s">
        <v>1307</v>
      </c>
      <c r="G21" s="270">
        <v>16</v>
      </c>
      <c r="H21" s="472" t="s">
        <v>1306</v>
      </c>
      <c r="I21" s="270" t="s">
        <v>1307</v>
      </c>
      <c r="J21" s="554">
        <v>1012</v>
      </c>
      <c r="K21" s="270">
        <v>1003</v>
      </c>
    </row>
    <row r="22" spans="1:11">
      <c r="A22">
        <v>17</v>
      </c>
      <c r="B22" s="474" t="s">
        <v>1308</v>
      </c>
      <c r="C22" t="s">
        <v>1309</v>
      </c>
      <c r="G22" s="270">
        <v>17</v>
      </c>
      <c r="H22" s="472" t="s">
        <v>1308</v>
      </c>
      <c r="I22" s="270" t="s">
        <v>1309</v>
      </c>
      <c r="J22" s="554">
        <v>274</v>
      </c>
      <c r="K22" s="270">
        <v>274</v>
      </c>
    </row>
    <row r="23" spans="1:11">
      <c r="A23">
        <v>18</v>
      </c>
      <c r="B23" s="474" t="s">
        <v>1310</v>
      </c>
      <c r="C23" t="s">
        <v>1311</v>
      </c>
      <c r="G23" s="270">
        <v>18</v>
      </c>
      <c r="H23" s="472" t="s">
        <v>1310</v>
      </c>
      <c r="I23" s="270" t="s">
        <v>1311</v>
      </c>
      <c r="J23" s="554">
        <v>137</v>
      </c>
      <c r="K23" s="270">
        <v>126</v>
      </c>
    </row>
    <row r="24" spans="1:11">
      <c r="A24">
        <v>19</v>
      </c>
      <c r="B24" s="474" t="s">
        <v>1312</v>
      </c>
      <c r="C24" t="s">
        <v>1313</v>
      </c>
      <c r="G24" s="270">
        <v>19</v>
      </c>
      <c r="H24" s="472" t="s">
        <v>1312</v>
      </c>
      <c r="I24" s="270" t="s">
        <v>1313</v>
      </c>
      <c r="J24" s="554">
        <v>0</v>
      </c>
      <c r="K24" s="270">
        <v>0</v>
      </c>
    </row>
    <row r="25" spans="1:11">
      <c r="A25">
        <v>20</v>
      </c>
      <c r="B25" s="474" t="s">
        <v>1314</v>
      </c>
      <c r="C25" t="s">
        <v>1315</v>
      </c>
      <c r="G25" s="270">
        <v>20</v>
      </c>
      <c r="H25" s="472" t="s">
        <v>1314</v>
      </c>
      <c r="I25" s="270" t="s">
        <v>1315</v>
      </c>
      <c r="J25" s="554">
        <v>839</v>
      </c>
      <c r="K25" s="270">
        <v>862</v>
      </c>
    </row>
    <row r="26" spans="1:11">
      <c r="A26">
        <v>21</v>
      </c>
      <c r="B26" s="474" t="s">
        <v>1316</v>
      </c>
      <c r="C26" t="s">
        <v>1317</v>
      </c>
      <c r="G26" s="270">
        <v>21</v>
      </c>
      <c r="H26" s="472" t="s">
        <v>1316</v>
      </c>
      <c r="I26" s="270" t="s">
        <v>1317</v>
      </c>
      <c r="J26" s="554">
        <v>0</v>
      </c>
      <c r="K26" s="270">
        <v>0</v>
      </c>
    </row>
    <row r="27" spans="1:11">
      <c r="A27">
        <v>22</v>
      </c>
      <c r="B27" s="474" t="s">
        <v>1318</v>
      </c>
      <c r="C27" t="s">
        <v>1319</v>
      </c>
      <c r="G27" s="270">
        <v>22</v>
      </c>
      <c r="H27" s="472" t="s">
        <v>1318</v>
      </c>
      <c r="I27" s="270" t="s">
        <v>1319</v>
      </c>
      <c r="J27" s="554">
        <v>0</v>
      </c>
      <c r="K27" s="270">
        <v>0</v>
      </c>
    </row>
    <row r="28" spans="1:11">
      <c r="A28">
        <v>23</v>
      </c>
      <c r="B28" s="474" t="s">
        <v>1320</v>
      </c>
      <c r="C28" t="s">
        <v>1321</v>
      </c>
      <c r="G28" s="270">
        <v>23</v>
      </c>
      <c r="H28" s="472" t="s">
        <v>1320</v>
      </c>
      <c r="I28" s="270" t="s">
        <v>1321</v>
      </c>
      <c r="J28" s="554">
        <v>456</v>
      </c>
      <c r="K28" s="270">
        <v>475</v>
      </c>
    </row>
    <row r="29" spans="1:11">
      <c r="A29">
        <v>24</v>
      </c>
      <c r="B29" s="474" t="s">
        <v>1322</v>
      </c>
      <c r="C29" t="s">
        <v>1323</v>
      </c>
      <c r="G29" s="270">
        <v>24</v>
      </c>
      <c r="H29" s="472" t="s">
        <v>1322</v>
      </c>
      <c r="I29" s="270" t="s">
        <v>1323</v>
      </c>
      <c r="J29" s="554">
        <v>419</v>
      </c>
      <c r="K29" s="270">
        <v>429</v>
      </c>
    </row>
    <row r="30" spans="1:11">
      <c r="A30">
        <v>25</v>
      </c>
      <c r="B30" s="474" t="s">
        <v>1263</v>
      </c>
      <c r="C30" t="s">
        <v>1324</v>
      </c>
      <c r="G30" s="270">
        <v>25</v>
      </c>
      <c r="H30" s="472" t="s">
        <v>1263</v>
      </c>
      <c r="I30" s="270" t="s">
        <v>1324</v>
      </c>
      <c r="J30" s="554">
        <v>428</v>
      </c>
      <c r="K30" s="270">
        <v>453</v>
      </c>
    </row>
    <row r="31" spans="1:11">
      <c r="A31">
        <v>26</v>
      </c>
      <c r="B31" s="474" t="s">
        <v>1325</v>
      </c>
      <c r="C31" t="s">
        <v>1326</v>
      </c>
      <c r="G31" s="270">
        <v>26</v>
      </c>
      <c r="H31" s="472" t="s">
        <v>1325</v>
      </c>
      <c r="I31" s="270" t="s">
        <v>1326</v>
      </c>
      <c r="J31" s="554">
        <v>540</v>
      </c>
      <c r="K31" s="270">
        <v>513</v>
      </c>
    </row>
    <row r="32" spans="1:11">
      <c r="A32">
        <v>27</v>
      </c>
      <c r="B32" s="474" t="s">
        <v>1327</v>
      </c>
      <c r="C32" t="s">
        <v>1328</v>
      </c>
      <c r="G32" s="270">
        <v>27</v>
      </c>
      <c r="H32" s="472" t="s">
        <v>1327</v>
      </c>
      <c r="I32" s="270" t="s">
        <v>1328</v>
      </c>
      <c r="J32" s="554">
        <v>130</v>
      </c>
      <c r="K32" s="270">
        <v>141</v>
      </c>
    </row>
    <row r="33" spans="1:11">
      <c r="A33">
        <v>28</v>
      </c>
      <c r="B33" s="474" t="s">
        <v>1329</v>
      </c>
      <c r="C33" t="s">
        <v>1330</v>
      </c>
      <c r="G33" s="270">
        <v>28</v>
      </c>
      <c r="H33" s="472" t="s">
        <v>1329</v>
      </c>
      <c r="I33" s="270" t="s">
        <v>1330</v>
      </c>
      <c r="J33" s="554">
        <v>0</v>
      </c>
      <c r="K33" s="270">
        <v>0</v>
      </c>
    </row>
    <row r="34" spans="1:11">
      <c r="A34">
        <v>29</v>
      </c>
      <c r="B34" s="474" t="s">
        <v>1331</v>
      </c>
      <c r="C34" t="s">
        <v>1332</v>
      </c>
      <c r="G34" s="270">
        <v>29</v>
      </c>
      <c r="H34" s="472" t="s">
        <v>1331</v>
      </c>
      <c r="I34" s="270" t="s">
        <v>1332</v>
      </c>
      <c r="J34" s="554">
        <v>0</v>
      </c>
      <c r="K34" s="270">
        <v>0</v>
      </c>
    </row>
    <row r="35" spans="1:11">
      <c r="A35">
        <v>30</v>
      </c>
      <c r="B35" s="474" t="s">
        <v>1333</v>
      </c>
      <c r="C35" t="s">
        <v>1334</v>
      </c>
      <c r="G35" s="270">
        <v>30</v>
      </c>
      <c r="H35" s="472" t="s">
        <v>1333</v>
      </c>
      <c r="I35" s="270" t="s">
        <v>1334</v>
      </c>
      <c r="J35" s="554">
        <v>912</v>
      </c>
      <c r="K35" s="270">
        <v>919</v>
      </c>
    </row>
    <row r="36" spans="1:11">
      <c r="A36">
        <v>31</v>
      </c>
      <c r="B36" s="474" t="s">
        <v>1335</v>
      </c>
      <c r="C36" t="s">
        <v>1336</v>
      </c>
      <c r="G36" s="270">
        <v>31</v>
      </c>
      <c r="H36" s="472" t="s">
        <v>1335</v>
      </c>
      <c r="I36" s="270" t="s">
        <v>1336</v>
      </c>
      <c r="J36" s="554">
        <v>934</v>
      </c>
      <c r="K36" s="270">
        <v>962</v>
      </c>
    </row>
    <row r="37" spans="1:11">
      <c r="A37">
        <v>32</v>
      </c>
      <c r="B37" s="474" t="s">
        <v>1337</v>
      </c>
      <c r="C37" t="s">
        <v>1338</v>
      </c>
      <c r="G37" s="270">
        <v>32</v>
      </c>
      <c r="H37" s="472" t="s">
        <v>1337</v>
      </c>
      <c r="I37" s="270" t="s">
        <v>1338</v>
      </c>
      <c r="J37" s="554">
        <v>0</v>
      </c>
      <c r="K37" s="270">
        <v>0</v>
      </c>
    </row>
    <row r="38" spans="1:11">
      <c r="A38">
        <v>33</v>
      </c>
      <c r="B38" s="474" t="s">
        <v>1339</v>
      </c>
      <c r="C38" t="s">
        <v>1340</v>
      </c>
      <c r="G38" s="270">
        <v>33</v>
      </c>
      <c r="H38" s="472" t="s">
        <v>1339</v>
      </c>
      <c r="I38" s="270" t="s">
        <v>1340</v>
      </c>
      <c r="J38" s="554">
        <v>0</v>
      </c>
      <c r="K38" s="270">
        <v>0</v>
      </c>
    </row>
    <row r="39" spans="1:11">
      <c r="A39">
        <v>34</v>
      </c>
      <c r="B39" s="474" t="s">
        <v>1341</v>
      </c>
      <c r="C39" t="s">
        <v>1342</v>
      </c>
      <c r="G39" s="270">
        <v>34</v>
      </c>
      <c r="H39" s="472" t="s">
        <v>1341</v>
      </c>
      <c r="I39" s="270" t="s">
        <v>1342</v>
      </c>
      <c r="J39" s="554">
        <v>0</v>
      </c>
      <c r="K39" s="270">
        <v>0</v>
      </c>
    </row>
    <row r="40" spans="1:11">
      <c r="A40">
        <v>35</v>
      </c>
      <c r="B40" s="474" t="s">
        <v>1343</v>
      </c>
      <c r="C40" t="s">
        <v>1344</v>
      </c>
      <c r="G40" s="270">
        <v>35</v>
      </c>
      <c r="H40" s="472" t="s">
        <v>1343</v>
      </c>
      <c r="I40" s="270" t="s">
        <v>1344</v>
      </c>
      <c r="J40" s="554">
        <v>10441</v>
      </c>
      <c r="K40" s="270">
        <v>10858</v>
      </c>
    </row>
    <row r="41" spans="1:11">
      <c r="A41">
        <v>36</v>
      </c>
      <c r="B41" s="474" t="s">
        <v>1345</v>
      </c>
      <c r="C41" t="s">
        <v>1346</v>
      </c>
      <c r="G41" s="270">
        <v>36</v>
      </c>
      <c r="H41" s="472" t="s">
        <v>1345</v>
      </c>
      <c r="I41" s="270" t="s">
        <v>1346</v>
      </c>
      <c r="J41" s="554">
        <v>305</v>
      </c>
      <c r="K41" s="270">
        <v>329</v>
      </c>
    </row>
    <row r="42" spans="1:11">
      <c r="A42">
        <v>37</v>
      </c>
      <c r="B42" s="474" t="s">
        <v>1347</v>
      </c>
      <c r="C42" t="s">
        <v>1348</v>
      </c>
      <c r="G42" s="270">
        <v>37</v>
      </c>
      <c r="H42" s="472" t="s">
        <v>1347</v>
      </c>
      <c r="I42" s="270" t="s">
        <v>1348</v>
      </c>
      <c r="J42" s="554">
        <v>0</v>
      </c>
      <c r="K42" s="270">
        <v>0</v>
      </c>
    </row>
    <row r="43" spans="1:11">
      <c r="A43">
        <v>38</v>
      </c>
      <c r="B43" s="474" t="s">
        <v>1349</v>
      </c>
      <c r="C43" t="s">
        <v>1350</v>
      </c>
      <c r="G43" s="270">
        <v>38</v>
      </c>
      <c r="H43" s="472" t="s">
        <v>1349</v>
      </c>
      <c r="I43" s="270" t="s">
        <v>1350</v>
      </c>
      <c r="J43" s="554">
        <v>129</v>
      </c>
      <c r="K43" s="270">
        <v>121</v>
      </c>
    </row>
    <row r="44" spans="1:11">
      <c r="A44">
        <v>39</v>
      </c>
      <c r="B44" s="474" t="s">
        <v>1351</v>
      </c>
      <c r="C44" t="s">
        <v>1352</v>
      </c>
      <c r="G44" s="270">
        <v>39</v>
      </c>
      <c r="H44" s="472" t="s">
        <v>1351</v>
      </c>
      <c r="I44" s="270" t="s">
        <v>1352</v>
      </c>
      <c r="J44" s="554">
        <v>0</v>
      </c>
      <c r="K44" s="270">
        <v>0</v>
      </c>
    </row>
    <row r="45" spans="1:11">
      <c r="A45">
        <v>40</v>
      </c>
      <c r="B45" s="474" t="s">
        <v>1353</v>
      </c>
      <c r="C45" t="s">
        <v>1354</v>
      </c>
      <c r="G45" s="270">
        <v>40</v>
      </c>
      <c r="H45" s="472" t="s">
        <v>1353</v>
      </c>
      <c r="I45" s="270" t="s">
        <v>1354</v>
      </c>
      <c r="J45" s="554">
        <v>1102</v>
      </c>
      <c r="K45" s="270">
        <v>1158</v>
      </c>
    </row>
    <row r="46" spans="1:11">
      <c r="A46">
        <v>41</v>
      </c>
      <c r="B46" s="474" t="s">
        <v>1355</v>
      </c>
      <c r="C46" t="s">
        <v>1356</v>
      </c>
      <c r="G46" s="270">
        <v>41</v>
      </c>
      <c r="H46" s="472" t="s">
        <v>1355</v>
      </c>
      <c r="I46" s="270" t="s">
        <v>1356</v>
      </c>
      <c r="J46" s="554">
        <v>81</v>
      </c>
      <c r="K46" s="270">
        <v>93</v>
      </c>
    </row>
    <row r="47" spans="1:11">
      <c r="A47">
        <v>42</v>
      </c>
      <c r="B47" s="474" t="s">
        <v>1357</v>
      </c>
      <c r="C47" t="s">
        <v>1358</v>
      </c>
      <c r="G47" s="270">
        <v>42</v>
      </c>
      <c r="H47" s="472" t="s">
        <v>1357</v>
      </c>
      <c r="I47" s="270" t="s">
        <v>1358</v>
      </c>
      <c r="J47" s="554">
        <v>0</v>
      </c>
      <c r="K47" s="270">
        <v>0</v>
      </c>
    </row>
    <row r="48" spans="1:11">
      <c r="A48">
        <v>43</v>
      </c>
      <c r="B48" s="474" t="s">
        <v>1359</v>
      </c>
      <c r="C48" t="s">
        <v>1360</v>
      </c>
      <c r="G48" s="270">
        <v>43</v>
      </c>
      <c r="H48" s="472" t="s">
        <v>1359</v>
      </c>
      <c r="I48" s="270" t="s">
        <v>1360</v>
      </c>
      <c r="J48" s="554">
        <v>43</v>
      </c>
      <c r="K48" s="270">
        <v>52</v>
      </c>
    </row>
    <row r="49" spans="1:11">
      <c r="A49">
        <v>44</v>
      </c>
      <c r="B49" s="474" t="s">
        <v>1361</v>
      </c>
      <c r="C49" t="s">
        <v>1362</v>
      </c>
      <c r="G49" s="270">
        <v>44</v>
      </c>
      <c r="H49" s="472" t="s">
        <v>1361</v>
      </c>
      <c r="I49" s="270" t="s">
        <v>1362</v>
      </c>
      <c r="J49" s="554">
        <v>2678</v>
      </c>
      <c r="K49" s="270">
        <v>2672</v>
      </c>
    </row>
    <row r="50" spans="1:11">
      <c r="A50">
        <v>45</v>
      </c>
      <c r="B50" s="474" t="s">
        <v>1363</v>
      </c>
      <c r="C50" t="s">
        <v>1364</v>
      </c>
      <c r="G50" s="270">
        <v>45</v>
      </c>
      <c r="H50" s="472" t="s">
        <v>1363</v>
      </c>
      <c r="I50" s="270" t="s">
        <v>1364</v>
      </c>
      <c r="J50" s="554">
        <v>32</v>
      </c>
      <c r="K50" s="270">
        <v>42</v>
      </c>
    </row>
    <row r="51" spans="1:11">
      <c r="A51">
        <v>46</v>
      </c>
      <c r="B51" s="474" t="s">
        <v>1365</v>
      </c>
      <c r="C51" t="s">
        <v>1366</v>
      </c>
      <c r="G51" s="270">
        <v>46</v>
      </c>
      <c r="H51" s="472" t="s">
        <v>1365</v>
      </c>
      <c r="I51" s="270" t="s">
        <v>1366</v>
      </c>
      <c r="J51" s="554">
        <v>1183</v>
      </c>
      <c r="K51" s="270">
        <v>1277</v>
      </c>
    </row>
    <row r="52" spans="1:11">
      <c r="A52">
        <v>47</v>
      </c>
      <c r="B52" s="474" t="s">
        <v>1367</v>
      </c>
      <c r="C52" t="s">
        <v>1368</v>
      </c>
      <c r="G52" s="270">
        <v>47</v>
      </c>
      <c r="H52" s="472" t="s">
        <v>1367</v>
      </c>
      <c r="I52" s="270" t="s">
        <v>1368</v>
      </c>
      <c r="J52" s="554">
        <v>0</v>
      </c>
      <c r="K52" s="270">
        <v>0</v>
      </c>
    </row>
    <row r="53" spans="1:11">
      <c r="A53">
        <v>48</v>
      </c>
      <c r="B53" s="474" t="s">
        <v>1369</v>
      </c>
      <c r="C53" t="s">
        <v>1370</v>
      </c>
      <c r="G53" s="270">
        <v>48</v>
      </c>
      <c r="H53" s="472" t="s">
        <v>1369</v>
      </c>
      <c r="I53" s="270" t="s">
        <v>1370</v>
      </c>
      <c r="J53" s="554">
        <v>493</v>
      </c>
      <c r="K53" s="270">
        <v>501</v>
      </c>
    </row>
    <row r="54" spans="1:11">
      <c r="A54">
        <v>49</v>
      </c>
      <c r="B54" s="474" t="s">
        <v>1371</v>
      </c>
      <c r="C54" t="s">
        <v>1372</v>
      </c>
      <c r="G54" s="270">
        <v>49</v>
      </c>
      <c r="H54" s="472" t="s">
        <v>1371</v>
      </c>
      <c r="I54" s="270" t="s">
        <v>1372</v>
      </c>
      <c r="J54" s="554">
        <v>1574</v>
      </c>
      <c r="K54" s="270">
        <v>1596</v>
      </c>
    </row>
    <row r="55" spans="1:11">
      <c r="A55">
        <v>50</v>
      </c>
      <c r="B55" s="474" t="s">
        <v>1373</v>
      </c>
      <c r="C55" t="s">
        <v>1374</v>
      </c>
      <c r="G55" s="270">
        <v>50</v>
      </c>
      <c r="H55" s="472" t="s">
        <v>1373</v>
      </c>
      <c r="I55" s="270" t="s">
        <v>1374</v>
      </c>
      <c r="J55" s="554">
        <v>413</v>
      </c>
      <c r="K55" s="270">
        <v>353</v>
      </c>
    </row>
    <row r="56" spans="1:11">
      <c r="A56">
        <v>51</v>
      </c>
      <c r="B56" s="474" t="s">
        <v>1375</v>
      </c>
      <c r="C56" t="s">
        <v>1376</v>
      </c>
      <c r="G56" s="270">
        <v>51</v>
      </c>
      <c r="H56" s="472" t="s">
        <v>1375</v>
      </c>
      <c r="I56" s="270" t="s">
        <v>1376</v>
      </c>
      <c r="J56" s="554">
        <v>101</v>
      </c>
      <c r="K56" s="270">
        <v>112</v>
      </c>
    </row>
    <row r="57" spans="1:11">
      <c r="A57">
        <v>52</v>
      </c>
      <c r="B57" s="474" t="s">
        <v>1377</v>
      </c>
      <c r="C57" t="s">
        <v>1378</v>
      </c>
      <c r="G57" s="270">
        <v>52</v>
      </c>
      <c r="H57" s="472" t="s">
        <v>1377</v>
      </c>
      <c r="I57" s="270" t="s">
        <v>1378</v>
      </c>
      <c r="J57" s="554">
        <v>288</v>
      </c>
      <c r="K57" s="270">
        <v>327</v>
      </c>
    </row>
    <row r="58" spans="1:11">
      <c r="A58">
        <v>53</v>
      </c>
      <c r="B58" s="474" t="s">
        <v>1379</v>
      </c>
      <c r="C58" t="s">
        <v>1380</v>
      </c>
      <c r="G58" s="270">
        <v>53</v>
      </c>
      <c r="H58" s="472" t="s">
        <v>1379</v>
      </c>
      <c r="I58" s="270" t="s">
        <v>1380</v>
      </c>
      <c r="J58" s="554">
        <v>0</v>
      </c>
      <c r="K58" s="270">
        <v>0</v>
      </c>
    </row>
    <row r="59" spans="1:11">
      <c r="A59">
        <v>54</v>
      </c>
      <c r="B59" s="474" t="s">
        <v>1381</v>
      </c>
      <c r="C59" t="s">
        <v>1382</v>
      </c>
      <c r="G59" s="270">
        <v>54</v>
      </c>
      <c r="H59" s="472" t="s">
        <v>1381</v>
      </c>
      <c r="I59" s="270" t="s">
        <v>1382</v>
      </c>
      <c r="J59" s="554">
        <v>0</v>
      </c>
      <c r="K59" s="270">
        <v>0</v>
      </c>
    </row>
    <row r="60" spans="1:11">
      <c r="A60">
        <v>55</v>
      </c>
      <c r="B60" s="474" t="s">
        <v>1383</v>
      </c>
      <c r="C60" t="s">
        <v>1384</v>
      </c>
      <c r="G60" s="270">
        <v>55</v>
      </c>
      <c r="H60" s="472" t="s">
        <v>1383</v>
      </c>
      <c r="I60" s="270" t="s">
        <v>1384</v>
      </c>
      <c r="J60" s="554">
        <v>0</v>
      </c>
      <c r="K60" s="270">
        <v>0</v>
      </c>
    </row>
    <row r="61" spans="1:11">
      <c r="A61">
        <v>56</v>
      </c>
      <c r="B61" s="474" t="s">
        <v>1385</v>
      </c>
      <c r="C61" t="s">
        <v>1386</v>
      </c>
      <c r="G61" s="270">
        <v>56</v>
      </c>
      <c r="H61" s="472" t="s">
        <v>1385</v>
      </c>
      <c r="I61" s="270" t="s">
        <v>1386</v>
      </c>
      <c r="J61" s="554">
        <v>813</v>
      </c>
      <c r="K61" s="270">
        <v>831</v>
      </c>
    </row>
    <row r="62" spans="1:11">
      <c r="A62">
        <v>57</v>
      </c>
      <c r="B62" s="474" t="s">
        <v>1387</v>
      </c>
      <c r="C62" t="s">
        <v>1388</v>
      </c>
      <c r="G62" s="270">
        <v>57</v>
      </c>
      <c r="H62" s="472" t="s">
        <v>1387</v>
      </c>
      <c r="I62" s="270" t="s">
        <v>1388</v>
      </c>
      <c r="J62" s="554">
        <v>1017</v>
      </c>
      <c r="K62" s="270">
        <v>993</v>
      </c>
    </row>
    <row r="63" spans="1:11">
      <c r="A63">
        <v>58</v>
      </c>
      <c r="B63" s="474" t="s">
        <v>1389</v>
      </c>
      <c r="C63" t="s">
        <v>1390</v>
      </c>
      <c r="G63" s="270">
        <v>58</v>
      </c>
      <c r="H63" s="472" t="s">
        <v>1389</v>
      </c>
      <c r="I63" s="270" t="s">
        <v>1390</v>
      </c>
      <c r="J63" s="554">
        <v>0</v>
      </c>
      <c r="K63" s="270">
        <v>0</v>
      </c>
    </row>
    <row r="64" spans="1:11">
      <c r="A64">
        <v>59</v>
      </c>
      <c r="B64" s="474" t="s">
        <v>1391</v>
      </c>
      <c r="C64" t="s">
        <v>1392</v>
      </c>
      <c r="G64" s="270">
        <v>59</v>
      </c>
      <c r="H64" s="472" t="s">
        <v>1391</v>
      </c>
      <c r="I64" s="270" t="s">
        <v>1392</v>
      </c>
      <c r="J64" s="554">
        <v>0</v>
      </c>
      <c r="K64" s="270">
        <v>0</v>
      </c>
    </row>
    <row r="65" spans="1:11">
      <c r="A65">
        <v>60</v>
      </c>
      <c r="B65" s="474" t="s">
        <v>1393</v>
      </c>
      <c r="C65" t="s">
        <v>1394</v>
      </c>
      <c r="G65" s="270">
        <v>60</v>
      </c>
      <c r="H65" s="472" t="s">
        <v>1393</v>
      </c>
      <c r="I65" s="270" t="s">
        <v>1394</v>
      </c>
      <c r="J65" s="554">
        <v>0</v>
      </c>
      <c r="K65" s="270">
        <v>0</v>
      </c>
    </row>
    <row r="66" spans="1:11">
      <c r="A66">
        <v>61</v>
      </c>
      <c r="B66" s="474" t="s">
        <v>1395</v>
      </c>
      <c r="C66" t="s">
        <v>1396</v>
      </c>
      <c r="G66" s="270">
        <v>61</v>
      </c>
      <c r="H66" s="472" t="s">
        <v>1395</v>
      </c>
      <c r="I66" s="270" t="s">
        <v>1396</v>
      </c>
      <c r="J66" s="554">
        <v>1301</v>
      </c>
      <c r="K66" s="270">
        <v>1342</v>
      </c>
    </row>
    <row r="67" spans="1:11">
      <c r="A67">
        <v>62</v>
      </c>
      <c r="B67" s="474" t="s">
        <v>1397</v>
      </c>
      <c r="C67" t="s">
        <v>1398</v>
      </c>
      <c r="G67" s="270">
        <v>62</v>
      </c>
      <c r="H67" s="472" t="s">
        <v>1397</v>
      </c>
      <c r="I67" s="270" t="s">
        <v>1398</v>
      </c>
      <c r="J67" s="554">
        <v>0</v>
      </c>
      <c r="K67" s="270">
        <v>0</v>
      </c>
    </row>
    <row r="68" spans="1:11">
      <c r="A68">
        <v>63</v>
      </c>
      <c r="B68" s="474" t="s">
        <v>1399</v>
      </c>
      <c r="C68" t="s">
        <v>1400</v>
      </c>
      <c r="G68" s="270">
        <v>63</v>
      </c>
      <c r="H68" s="472" t="s">
        <v>1399</v>
      </c>
      <c r="I68" s="270" t="s">
        <v>1400</v>
      </c>
      <c r="J68" s="554">
        <v>35</v>
      </c>
      <c r="K68" s="270">
        <v>38</v>
      </c>
    </row>
    <row r="69" spans="1:11">
      <c r="A69">
        <v>64</v>
      </c>
      <c r="B69" s="474" t="s">
        <v>1401</v>
      </c>
      <c r="C69" t="s">
        <v>1402</v>
      </c>
      <c r="G69" s="270">
        <v>64</v>
      </c>
      <c r="H69" s="472" t="s">
        <v>1401</v>
      </c>
      <c r="I69" s="270" t="s">
        <v>1402</v>
      </c>
      <c r="J69" s="554">
        <v>424</v>
      </c>
      <c r="K69" s="270">
        <v>404</v>
      </c>
    </row>
    <row r="70" spans="1:11">
      <c r="A70">
        <v>65</v>
      </c>
      <c r="B70" s="474" t="s">
        <v>1403</v>
      </c>
      <c r="C70" t="s">
        <v>1404</v>
      </c>
      <c r="G70" s="270">
        <v>65</v>
      </c>
      <c r="H70" s="472" t="s">
        <v>1403</v>
      </c>
      <c r="I70" s="270" t="s">
        <v>1404</v>
      </c>
      <c r="J70" s="554">
        <v>192</v>
      </c>
      <c r="K70" s="270">
        <v>196</v>
      </c>
    </row>
    <row r="71" spans="1:11">
      <c r="A71">
        <v>66</v>
      </c>
      <c r="B71" s="474" t="s">
        <v>1405</v>
      </c>
      <c r="C71" t="s">
        <v>1406</v>
      </c>
      <c r="G71" s="270">
        <v>66</v>
      </c>
      <c r="H71" s="472" t="s">
        <v>1405</v>
      </c>
      <c r="I71" s="270" t="s">
        <v>1406</v>
      </c>
      <c r="J71" s="554">
        <v>0</v>
      </c>
      <c r="K71" s="270">
        <v>0</v>
      </c>
    </row>
    <row r="72" spans="1:11">
      <c r="A72">
        <v>67</v>
      </c>
      <c r="B72" s="474" t="s">
        <v>1407</v>
      </c>
      <c r="C72" t="s">
        <v>1408</v>
      </c>
      <c r="G72" s="270">
        <v>67</v>
      </c>
      <c r="H72" s="472" t="s">
        <v>1407</v>
      </c>
      <c r="I72" s="270" t="s">
        <v>1408</v>
      </c>
      <c r="J72" s="554">
        <v>352</v>
      </c>
      <c r="K72" s="270">
        <v>378</v>
      </c>
    </row>
    <row r="73" spans="1:11">
      <c r="A73">
        <v>68</v>
      </c>
      <c r="B73" s="474" t="s">
        <v>1409</v>
      </c>
      <c r="C73" t="s">
        <v>1410</v>
      </c>
      <c r="G73" s="270">
        <v>68</v>
      </c>
      <c r="H73" s="472" t="s">
        <v>1409</v>
      </c>
      <c r="I73" s="270" t="s">
        <v>1410</v>
      </c>
      <c r="J73" s="554">
        <v>21</v>
      </c>
      <c r="K73" s="270">
        <v>27</v>
      </c>
    </row>
    <row r="74" spans="1:11">
      <c r="A74">
        <v>69</v>
      </c>
      <c r="B74" s="474" t="s">
        <v>1411</v>
      </c>
      <c r="C74" t="s">
        <v>1412</v>
      </c>
      <c r="G74" s="270">
        <v>69</v>
      </c>
      <c r="H74" s="472" t="s">
        <v>1411</v>
      </c>
      <c r="I74" s="270" t="s">
        <v>1412</v>
      </c>
      <c r="J74" s="554">
        <v>0</v>
      </c>
      <c r="K74" s="270">
        <v>0</v>
      </c>
    </row>
    <row r="75" spans="1:11">
      <c r="A75">
        <v>70</v>
      </c>
      <c r="B75" s="474" t="s">
        <v>1413</v>
      </c>
      <c r="C75" t="s">
        <v>1414</v>
      </c>
      <c r="G75" s="270">
        <v>70</v>
      </c>
      <c r="H75" s="472" t="s">
        <v>1413</v>
      </c>
      <c r="I75" s="270" t="s">
        <v>1414</v>
      </c>
      <c r="J75" s="554">
        <v>0</v>
      </c>
      <c r="K75" s="270">
        <v>0</v>
      </c>
    </row>
    <row r="76" spans="1:11">
      <c r="A76">
        <v>71</v>
      </c>
      <c r="B76" s="474" t="s">
        <v>1415</v>
      </c>
      <c r="C76" t="s">
        <v>1416</v>
      </c>
      <c r="G76" s="270">
        <v>71</v>
      </c>
      <c r="H76" s="472" t="s">
        <v>1415</v>
      </c>
      <c r="I76" s="270" t="s">
        <v>1416</v>
      </c>
      <c r="J76" s="554">
        <v>623</v>
      </c>
      <c r="K76" s="270">
        <v>634</v>
      </c>
    </row>
    <row r="77" spans="1:11">
      <c r="A77">
        <v>72</v>
      </c>
      <c r="B77" s="474" t="s">
        <v>1417</v>
      </c>
      <c r="C77" t="s">
        <v>1418</v>
      </c>
      <c r="G77" s="270">
        <v>72</v>
      </c>
      <c r="H77" s="472" t="s">
        <v>1417</v>
      </c>
      <c r="I77" s="270" t="s">
        <v>1418</v>
      </c>
      <c r="J77" s="554">
        <v>593</v>
      </c>
      <c r="K77" s="270">
        <v>602</v>
      </c>
    </row>
    <row r="78" spans="1:11">
      <c r="A78">
        <v>73</v>
      </c>
      <c r="B78" s="474" t="s">
        <v>1419</v>
      </c>
      <c r="C78" t="s">
        <v>1420</v>
      </c>
      <c r="G78" s="270">
        <v>73</v>
      </c>
      <c r="H78" s="472" t="s">
        <v>1419</v>
      </c>
      <c r="I78" s="270" t="s">
        <v>1420</v>
      </c>
      <c r="J78" s="554">
        <v>568</v>
      </c>
      <c r="K78" s="270">
        <v>615</v>
      </c>
    </row>
    <row r="79" spans="1:11">
      <c r="A79">
        <v>74</v>
      </c>
      <c r="B79" s="474" t="s">
        <v>1421</v>
      </c>
      <c r="C79" t="s">
        <v>1422</v>
      </c>
      <c r="G79" s="270">
        <v>74</v>
      </c>
      <c r="H79" s="472" t="s">
        <v>1421</v>
      </c>
      <c r="I79" s="270" t="s">
        <v>1422</v>
      </c>
      <c r="J79" s="554">
        <v>71</v>
      </c>
      <c r="K79" s="270">
        <v>83</v>
      </c>
    </row>
    <row r="80" spans="1:11">
      <c r="A80">
        <v>75</v>
      </c>
      <c r="B80" s="474" t="s">
        <v>1423</v>
      </c>
      <c r="C80" t="s">
        <v>1424</v>
      </c>
      <c r="G80" s="270">
        <v>75</v>
      </c>
      <c r="H80" s="472" t="s">
        <v>1423</v>
      </c>
      <c r="I80" s="270" t="s">
        <v>1424</v>
      </c>
      <c r="J80" s="554">
        <v>0</v>
      </c>
      <c r="K80" s="270">
        <v>0</v>
      </c>
    </row>
    <row r="81" spans="1:11">
      <c r="A81">
        <v>76</v>
      </c>
      <c r="B81" s="474" t="s">
        <v>1425</v>
      </c>
      <c r="C81" t="s">
        <v>1426</v>
      </c>
      <c r="G81" s="270">
        <v>76</v>
      </c>
      <c r="H81" s="472" t="s">
        <v>1425</v>
      </c>
      <c r="I81" s="270" t="s">
        <v>1426</v>
      </c>
      <c r="J81" s="554">
        <v>0</v>
      </c>
      <c r="K81" s="270">
        <v>0</v>
      </c>
    </row>
    <row r="82" spans="1:11">
      <c r="A82">
        <v>77</v>
      </c>
      <c r="B82" s="474" t="s">
        <v>1427</v>
      </c>
      <c r="C82" t="s">
        <v>1428</v>
      </c>
      <c r="G82" s="270">
        <v>77</v>
      </c>
      <c r="H82" s="472" t="s">
        <v>1427</v>
      </c>
      <c r="I82" s="270" t="s">
        <v>1428</v>
      </c>
      <c r="J82" s="554">
        <v>219</v>
      </c>
      <c r="K82" s="270">
        <v>238</v>
      </c>
    </row>
    <row r="83" spans="1:11">
      <c r="A83">
        <v>78</v>
      </c>
      <c r="B83" s="474" t="s">
        <v>1429</v>
      </c>
      <c r="C83" t="s">
        <v>1430</v>
      </c>
      <c r="G83" s="270">
        <v>78</v>
      </c>
      <c r="H83" s="472" t="s">
        <v>1429</v>
      </c>
      <c r="I83" s="270" t="s">
        <v>1430</v>
      </c>
      <c r="J83" s="554">
        <v>66</v>
      </c>
      <c r="K83" s="270">
        <v>72</v>
      </c>
    </row>
    <row r="84" spans="1:11">
      <c r="A84">
        <v>79</v>
      </c>
      <c r="B84" s="474" t="s">
        <v>1431</v>
      </c>
      <c r="C84" t="s">
        <v>1432</v>
      </c>
      <c r="G84" s="270">
        <v>79</v>
      </c>
      <c r="H84" s="472" t="s">
        <v>1431</v>
      </c>
      <c r="I84" s="270" t="s">
        <v>1432</v>
      </c>
      <c r="J84" s="554">
        <v>588</v>
      </c>
      <c r="K84" s="270">
        <v>561</v>
      </c>
    </row>
    <row r="85" spans="1:11">
      <c r="A85">
        <v>80</v>
      </c>
      <c r="B85" s="474" t="s">
        <v>1433</v>
      </c>
      <c r="C85" t="s">
        <v>1434</v>
      </c>
      <c r="G85" s="270">
        <v>80</v>
      </c>
      <c r="H85" s="472" t="s">
        <v>1433</v>
      </c>
      <c r="I85" s="270" t="s">
        <v>1434</v>
      </c>
      <c r="J85" s="554">
        <v>0</v>
      </c>
      <c r="K85" s="270">
        <v>0</v>
      </c>
    </row>
    <row r="86" spans="1:11">
      <c r="A86">
        <v>81</v>
      </c>
      <c r="B86" s="474" t="s">
        <v>1435</v>
      </c>
      <c r="C86" t="s">
        <v>1436</v>
      </c>
      <c r="G86" s="270">
        <v>81</v>
      </c>
      <c r="H86" s="472" t="s">
        <v>1435</v>
      </c>
      <c r="I86" s="270" t="s">
        <v>1436</v>
      </c>
      <c r="J86" s="554">
        <v>0</v>
      </c>
      <c r="K86" s="270">
        <v>0</v>
      </c>
    </row>
    <row r="87" spans="1:11">
      <c r="A87">
        <v>82</v>
      </c>
      <c r="B87" s="474" t="s">
        <v>1437</v>
      </c>
      <c r="C87" t="s">
        <v>1438</v>
      </c>
      <c r="G87" s="270">
        <v>82</v>
      </c>
      <c r="H87" s="472" t="s">
        <v>1437</v>
      </c>
      <c r="I87" s="270" t="s">
        <v>1438</v>
      </c>
      <c r="J87" s="554">
        <v>414</v>
      </c>
      <c r="K87" s="270">
        <v>437</v>
      </c>
    </row>
    <row r="88" spans="1:11">
      <c r="A88">
        <v>83</v>
      </c>
      <c r="B88" s="474" t="s">
        <v>1439</v>
      </c>
      <c r="C88" t="s">
        <v>1440</v>
      </c>
      <c r="G88" s="270">
        <v>83</v>
      </c>
      <c r="H88" s="472" t="s">
        <v>1439</v>
      </c>
      <c r="I88" s="270" t="s">
        <v>1440</v>
      </c>
      <c r="J88" s="554">
        <v>366</v>
      </c>
      <c r="K88" s="270">
        <v>401</v>
      </c>
    </row>
    <row r="89" spans="1:11">
      <c r="A89">
        <v>84</v>
      </c>
      <c r="B89" s="474" t="s">
        <v>1441</v>
      </c>
      <c r="C89" t="s">
        <v>1442</v>
      </c>
      <c r="G89" s="270">
        <v>84</v>
      </c>
      <c r="H89" s="472" t="s">
        <v>1441</v>
      </c>
      <c r="I89" s="270" t="s">
        <v>1442</v>
      </c>
      <c r="J89" s="554">
        <v>0</v>
      </c>
      <c r="K89" s="270">
        <v>0</v>
      </c>
    </row>
    <row r="90" spans="1:11">
      <c r="A90">
        <v>85</v>
      </c>
      <c r="B90" s="474" t="s">
        <v>1443</v>
      </c>
      <c r="C90" t="s">
        <v>1444</v>
      </c>
      <c r="G90" s="270">
        <v>85</v>
      </c>
      <c r="H90" s="472" t="s">
        <v>1443</v>
      </c>
      <c r="I90" s="270" t="s">
        <v>1444</v>
      </c>
      <c r="J90" s="554">
        <v>35</v>
      </c>
      <c r="K90" s="270">
        <v>34</v>
      </c>
    </row>
    <row r="91" spans="1:11">
      <c r="A91">
        <v>86</v>
      </c>
      <c r="B91" s="474" t="s">
        <v>1445</v>
      </c>
      <c r="C91" t="s">
        <v>1446</v>
      </c>
      <c r="G91" s="270">
        <v>86</v>
      </c>
      <c r="H91" s="472" t="s">
        <v>1445</v>
      </c>
      <c r="I91" s="270" t="s">
        <v>1446</v>
      </c>
      <c r="J91" s="554">
        <v>281</v>
      </c>
      <c r="K91" s="270">
        <v>312</v>
      </c>
    </row>
    <row r="92" spans="1:11">
      <c r="A92">
        <v>87</v>
      </c>
      <c r="B92" s="474" t="s">
        <v>1447</v>
      </c>
      <c r="C92" t="s">
        <v>1448</v>
      </c>
      <c r="G92" s="270">
        <v>87</v>
      </c>
      <c r="H92" s="472" t="s">
        <v>1447</v>
      </c>
      <c r="I92" s="270" t="s">
        <v>1448</v>
      </c>
      <c r="J92" s="554">
        <v>450</v>
      </c>
      <c r="K92" s="270">
        <v>496</v>
      </c>
    </row>
    <row r="93" spans="1:11">
      <c r="A93">
        <v>88</v>
      </c>
      <c r="B93" s="474" t="s">
        <v>1449</v>
      </c>
      <c r="C93" t="s">
        <v>1450</v>
      </c>
      <c r="G93" s="270">
        <v>88</v>
      </c>
      <c r="H93" s="472" t="s">
        <v>1449</v>
      </c>
      <c r="I93" s="270" t="s">
        <v>1450</v>
      </c>
      <c r="J93" s="554">
        <v>662</v>
      </c>
      <c r="K93" s="270">
        <v>658</v>
      </c>
    </row>
    <row r="94" spans="1:11">
      <c r="A94">
        <v>89</v>
      </c>
      <c r="B94" s="474" t="s">
        <v>1451</v>
      </c>
      <c r="C94" t="s">
        <v>1452</v>
      </c>
      <c r="G94" s="270">
        <v>89</v>
      </c>
      <c r="H94" s="472" t="s">
        <v>1451</v>
      </c>
      <c r="I94" s="270" t="s">
        <v>1452</v>
      </c>
      <c r="J94" s="554">
        <v>83</v>
      </c>
      <c r="K94" s="270">
        <v>85</v>
      </c>
    </row>
    <row r="95" spans="1:11">
      <c r="A95">
        <v>90</v>
      </c>
      <c r="B95" s="474" t="s">
        <v>1453</v>
      </c>
      <c r="C95" t="s">
        <v>1454</v>
      </c>
      <c r="G95" s="270">
        <v>90</v>
      </c>
      <c r="H95" s="472" t="s">
        <v>1453</v>
      </c>
      <c r="I95" s="270" t="s">
        <v>1454</v>
      </c>
      <c r="J95" s="554">
        <v>0</v>
      </c>
      <c r="K95" s="270">
        <v>0</v>
      </c>
    </row>
    <row r="96" spans="1:11">
      <c r="A96">
        <v>91</v>
      </c>
      <c r="B96" s="474" t="s">
        <v>1455</v>
      </c>
      <c r="C96" t="s">
        <v>1456</v>
      </c>
      <c r="G96" s="270">
        <v>91</v>
      </c>
      <c r="H96" s="472" t="s">
        <v>1455</v>
      </c>
      <c r="I96" s="270" t="s">
        <v>1456</v>
      </c>
      <c r="J96" s="554">
        <v>23</v>
      </c>
      <c r="K96" s="270">
        <v>27</v>
      </c>
    </row>
    <row r="97" spans="1:11">
      <c r="A97">
        <v>92</v>
      </c>
      <c r="B97" s="474" t="s">
        <v>1457</v>
      </c>
      <c r="C97" t="s">
        <v>1458</v>
      </c>
      <c r="G97" s="270">
        <v>92</v>
      </c>
      <c r="H97" s="472" t="s">
        <v>1457</v>
      </c>
      <c r="I97" s="270" t="s">
        <v>1458</v>
      </c>
      <c r="J97" s="554">
        <v>0</v>
      </c>
      <c r="K97" s="270">
        <v>0</v>
      </c>
    </row>
    <row r="98" spans="1:11">
      <c r="A98">
        <v>93</v>
      </c>
      <c r="B98" s="474" t="s">
        <v>1459</v>
      </c>
      <c r="C98" t="s">
        <v>1460</v>
      </c>
      <c r="G98" s="270">
        <v>93</v>
      </c>
      <c r="H98" s="472" t="s">
        <v>1459</v>
      </c>
      <c r="I98" s="270" t="s">
        <v>1460</v>
      </c>
      <c r="J98" s="554">
        <v>1265</v>
      </c>
      <c r="K98" s="270">
        <v>1110</v>
      </c>
    </row>
    <row r="99" spans="1:11">
      <c r="A99">
        <v>94</v>
      </c>
      <c r="B99" s="474" t="s">
        <v>1461</v>
      </c>
      <c r="C99" t="s">
        <v>1462</v>
      </c>
      <c r="G99" s="270">
        <v>94</v>
      </c>
      <c r="H99" s="472" t="s">
        <v>1461</v>
      </c>
      <c r="I99" s="270" t="s">
        <v>1462</v>
      </c>
      <c r="J99" s="554">
        <v>322</v>
      </c>
      <c r="K99" s="270">
        <v>361</v>
      </c>
    </row>
    <row r="100" spans="1:11">
      <c r="A100">
        <v>95</v>
      </c>
      <c r="B100" s="474" t="s">
        <v>1463</v>
      </c>
      <c r="C100" t="s">
        <v>1464</v>
      </c>
      <c r="G100" s="270">
        <v>95</v>
      </c>
      <c r="H100" s="472" t="s">
        <v>1463</v>
      </c>
      <c r="I100" s="270" t="s">
        <v>1464</v>
      </c>
      <c r="J100" s="554">
        <v>2325</v>
      </c>
      <c r="K100" s="270">
        <v>2341</v>
      </c>
    </row>
    <row r="101" spans="1:11">
      <c r="A101">
        <v>96</v>
      </c>
      <c r="B101" s="474" t="s">
        <v>1465</v>
      </c>
      <c r="C101" t="s">
        <v>1466</v>
      </c>
      <c r="G101" s="270">
        <v>96</v>
      </c>
      <c r="H101" s="472" t="s">
        <v>1465</v>
      </c>
      <c r="I101" s="270" t="s">
        <v>1466</v>
      </c>
      <c r="J101" s="554">
        <v>586</v>
      </c>
      <c r="K101" s="270">
        <v>597</v>
      </c>
    </row>
    <row r="102" spans="1:11">
      <c r="A102">
        <v>97</v>
      </c>
      <c r="B102" s="474" t="s">
        <v>1467</v>
      </c>
      <c r="C102" t="s">
        <v>1468</v>
      </c>
      <c r="G102" s="270">
        <v>97</v>
      </c>
      <c r="H102" s="472" t="s">
        <v>1467</v>
      </c>
      <c r="I102" s="270" t="s">
        <v>1468</v>
      </c>
      <c r="J102" s="554">
        <v>1269</v>
      </c>
      <c r="K102" s="270">
        <v>1296</v>
      </c>
    </row>
    <row r="103" spans="1:11">
      <c r="A103">
        <v>98</v>
      </c>
      <c r="B103" s="474" t="s">
        <v>1469</v>
      </c>
      <c r="C103" t="s">
        <v>1470</v>
      </c>
      <c r="G103" s="270">
        <v>98</v>
      </c>
      <c r="H103" s="472" t="s">
        <v>1469</v>
      </c>
      <c r="I103" s="270" t="s">
        <v>1470</v>
      </c>
      <c r="J103" s="554">
        <v>18</v>
      </c>
      <c r="K103" s="270">
        <v>19</v>
      </c>
    </row>
    <row r="104" spans="1:11">
      <c r="A104">
        <v>99</v>
      </c>
      <c r="B104" s="474" t="s">
        <v>1471</v>
      </c>
      <c r="C104" t="s">
        <v>1472</v>
      </c>
      <c r="G104" s="270">
        <v>99</v>
      </c>
      <c r="H104" s="472" t="s">
        <v>1471</v>
      </c>
      <c r="I104" s="270" t="s">
        <v>1472</v>
      </c>
      <c r="J104" s="554">
        <v>502</v>
      </c>
      <c r="K104" s="270">
        <v>534</v>
      </c>
    </row>
    <row r="105" spans="1:11">
      <c r="A105">
        <v>100</v>
      </c>
      <c r="B105" s="488" t="s">
        <v>1473</v>
      </c>
      <c r="C105" t="s">
        <v>1474</v>
      </c>
      <c r="G105" s="270">
        <v>100</v>
      </c>
      <c r="H105" s="472" t="s">
        <v>1473</v>
      </c>
      <c r="I105" s="270" t="s">
        <v>1474</v>
      </c>
      <c r="J105" s="554">
        <v>1940</v>
      </c>
      <c r="K105" s="270">
        <v>2029</v>
      </c>
    </row>
    <row r="106" spans="1:11">
      <c r="A106">
        <v>101</v>
      </c>
      <c r="B106" s="488" t="s">
        <v>1475</v>
      </c>
      <c r="C106" t="s">
        <v>1476</v>
      </c>
      <c r="G106" s="270">
        <v>101</v>
      </c>
      <c r="H106" s="472" t="s">
        <v>1475</v>
      </c>
      <c r="I106" s="270" t="s">
        <v>1476</v>
      </c>
      <c r="J106" s="554">
        <v>892</v>
      </c>
      <c r="K106" s="270">
        <v>955</v>
      </c>
    </row>
    <row r="107" spans="1:11">
      <c r="A107">
        <v>102</v>
      </c>
      <c r="B107" s="488" t="s">
        <v>1477</v>
      </c>
      <c r="C107" t="s">
        <v>1478</v>
      </c>
      <c r="G107" s="270">
        <v>102</v>
      </c>
      <c r="H107" s="472" t="s">
        <v>1477</v>
      </c>
      <c r="I107" s="270" t="s">
        <v>1478</v>
      </c>
      <c r="J107" s="554">
        <v>0</v>
      </c>
      <c r="K107" s="270">
        <v>0</v>
      </c>
    </row>
    <row r="108" spans="1:11">
      <c r="A108">
        <v>103</v>
      </c>
      <c r="B108" s="472" t="s">
        <v>1479</v>
      </c>
      <c r="C108" t="s">
        <v>1480</v>
      </c>
      <c r="G108" s="270">
        <v>103</v>
      </c>
      <c r="H108" s="472" t="s">
        <v>1479</v>
      </c>
      <c r="I108" s="270" t="s">
        <v>1480</v>
      </c>
      <c r="J108" s="554">
        <v>502</v>
      </c>
      <c r="K108" s="270">
        <v>521</v>
      </c>
    </row>
    <row r="109" spans="1:11">
      <c r="A109">
        <v>104</v>
      </c>
      <c r="B109" s="488" t="s">
        <v>1481</v>
      </c>
      <c r="C109" t="s">
        <v>1482</v>
      </c>
      <c r="G109" s="270">
        <v>104</v>
      </c>
      <c r="H109" s="472" t="s">
        <v>1481</v>
      </c>
      <c r="I109" s="270" t="s">
        <v>1482</v>
      </c>
      <c r="J109" s="554">
        <v>0</v>
      </c>
      <c r="K109" s="270">
        <v>0</v>
      </c>
    </row>
    <row r="110" spans="1:11">
      <c r="A110">
        <v>105</v>
      </c>
      <c r="B110" s="488" t="s">
        <v>1483</v>
      </c>
      <c r="C110" t="s">
        <v>1484</v>
      </c>
      <c r="G110" s="270">
        <v>105</v>
      </c>
      <c r="H110" s="472" t="s">
        <v>1483</v>
      </c>
      <c r="I110" s="270" t="s">
        <v>1484</v>
      </c>
      <c r="J110" s="554">
        <v>213</v>
      </c>
      <c r="K110" s="270">
        <v>237</v>
      </c>
    </row>
    <row r="111" spans="1:11">
      <c r="A111">
        <v>106</v>
      </c>
      <c r="B111" s="488" t="s">
        <v>1485</v>
      </c>
      <c r="C111" t="s">
        <v>1486</v>
      </c>
      <c r="G111" s="270">
        <v>106</v>
      </c>
      <c r="H111" s="472" t="s">
        <v>1485</v>
      </c>
      <c r="I111" s="270" t="s">
        <v>1486</v>
      </c>
      <c r="J111" s="554">
        <v>0</v>
      </c>
      <c r="K111" s="270">
        <v>0</v>
      </c>
    </row>
    <row r="112" spans="1:11">
      <c r="A112">
        <v>107</v>
      </c>
      <c r="B112" s="488" t="s">
        <v>1487</v>
      </c>
      <c r="C112" t="s">
        <v>1488</v>
      </c>
      <c r="G112" s="270">
        <v>107</v>
      </c>
      <c r="H112" s="472" t="s">
        <v>1487</v>
      </c>
      <c r="I112" s="270" t="s">
        <v>1488</v>
      </c>
      <c r="J112" s="554">
        <v>718</v>
      </c>
      <c r="K112" s="270">
        <v>758</v>
      </c>
    </row>
    <row r="113" spans="1:11">
      <c r="A113">
        <v>108</v>
      </c>
      <c r="B113" s="488" t="s">
        <v>1489</v>
      </c>
      <c r="C113" t="s">
        <v>1490</v>
      </c>
      <c r="G113" s="270">
        <v>108</v>
      </c>
      <c r="H113" s="472" t="s">
        <v>1489</v>
      </c>
      <c r="I113" s="270" t="s">
        <v>1490</v>
      </c>
      <c r="J113" s="554">
        <v>0</v>
      </c>
      <c r="K113" s="270">
        <v>0</v>
      </c>
    </row>
    <row r="114" spans="1:11">
      <c r="A114">
        <v>109</v>
      </c>
      <c r="B114" s="474" t="s">
        <v>1491</v>
      </c>
      <c r="C114" t="s">
        <v>1492</v>
      </c>
      <c r="G114" s="270">
        <v>109</v>
      </c>
      <c r="H114" s="472" t="s">
        <v>1491</v>
      </c>
      <c r="I114" s="270" t="s">
        <v>1492</v>
      </c>
      <c r="J114" s="554" t="s">
        <v>301</v>
      </c>
      <c r="K114" s="270">
        <v>0</v>
      </c>
    </row>
    <row r="115" spans="1:11">
      <c r="A115">
        <v>110</v>
      </c>
      <c r="B115" s="472" t="s">
        <v>1493</v>
      </c>
      <c r="C115" t="s">
        <v>1494</v>
      </c>
      <c r="G115" s="270">
        <v>110</v>
      </c>
      <c r="H115" s="472" t="s">
        <v>1493</v>
      </c>
      <c r="I115" s="270" t="s">
        <v>1494</v>
      </c>
      <c r="J115" s="554">
        <v>633</v>
      </c>
      <c r="K115" s="270">
        <v>649</v>
      </c>
    </row>
    <row r="116" spans="1:11">
      <c r="A116">
        <v>111</v>
      </c>
      <c r="B116" s="472" t="s">
        <v>1495</v>
      </c>
      <c r="C116" t="s">
        <v>1496</v>
      </c>
      <c r="G116" s="270">
        <v>111</v>
      </c>
      <c r="H116" s="472" t="s">
        <v>1495</v>
      </c>
      <c r="I116" s="270" t="s">
        <v>1496</v>
      </c>
      <c r="J116" s="554">
        <v>137</v>
      </c>
      <c r="K116" s="270">
        <v>141</v>
      </c>
    </row>
    <row r="117" spans="1:11">
      <c r="A117">
        <v>112</v>
      </c>
      <c r="B117" s="488" t="s">
        <v>1497</v>
      </c>
      <c r="C117" t="s">
        <v>1498</v>
      </c>
      <c r="G117" s="270">
        <v>112</v>
      </c>
      <c r="H117" s="472" t="s">
        <v>1497</v>
      </c>
      <c r="I117" s="270" t="s">
        <v>1498</v>
      </c>
      <c r="J117" s="554">
        <v>0</v>
      </c>
      <c r="K117" s="270">
        <v>0</v>
      </c>
    </row>
    <row r="118" spans="1:11">
      <c r="A118">
        <v>113</v>
      </c>
      <c r="B118" s="488" t="s">
        <v>1499</v>
      </c>
      <c r="C118" t="s">
        <v>1500</v>
      </c>
      <c r="G118" s="270">
        <v>113</v>
      </c>
      <c r="H118" s="472" t="s">
        <v>1499</v>
      </c>
      <c r="I118" s="270" t="s">
        <v>1500</v>
      </c>
      <c r="J118" s="554">
        <v>0</v>
      </c>
      <c r="K118" s="270">
        <v>0</v>
      </c>
    </row>
    <row r="119" spans="1:11">
      <c r="A119">
        <v>114</v>
      </c>
      <c r="B119" s="488" t="s">
        <v>1501</v>
      </c>
      <c r="C119" t="s">
        <v>1502</v>
      </c>
      <c r="G119" s="270">
        <v>114</v>
      </c>
      <c r="H119" s="472" t="s">
        <v>1501</v>
      </c>
      <c r="I119" s="270" t="s">
        <v>1502</v>
      </c>
      <c r="J119" s="554">
        <v>308</v>
      </c>
      <c r="K119" s="270">
        <v>324</v>
      </c>
    </row>
    <row r="120" spans="1:11">
      <c r="A120">
        <v>115</v>
      </c>
      <c r="B120" s="472" t="s">
        <v>1503</v>
      </c>
      <c r="C120" t="s">
        <v>1504</v>
      </c>
      <c r="G120" s="270">
        <v>115</v>
      </c>
      <c r="H120" s="472" t="s">
        <v>1503</v>
      </c>
      <c r="I120" s="270" t="s">
        <v>1504</v>
      </c>
      <c r="J120" s="554">
        <v>0</v>
      </c>
      <c r="K120" s="270">
        <v>0</v>
      </c>
    </row>
    <row r="121" spans="1:11">
      <c r="A121">
        <v>116</v>
      </c>
      <c r="B121" s="472" t="s">
        <v>1505</v>
      </c>
      <c r="C121" t="s">
        <v>1506</v>
      </c>
      <c r="G121" s="270">
        <v>116</v>
      </c>
      <c r="H121" s="472" t="s">
        <v>1505</v>
      </c>
      <c r="I121" s="270" t="s">
        <v>1506</v>
      </c>
      <c r="J121" s="554">
        <v>0</v>
      </c>
      <c r="K121" s="270">
        <v>0</v>
      </c>
    </row>
    <row r="122" spans="1:11">
      <c r="A122">
        <v>117</v>
      </c>
      <c r="B122" s="472" t="s">
        <v>1507</v>
      </c>
      <c r="C122" t="s">
        <v>1508</v>
      </c>
      <c r="G122" s="270">
        <v>117</v>
      </c>
      <c r="H122" s="472" t="s">
        <v>1507</v>
      </c>
      <c r="I122" s="270" t="s">
        <v>1508</v>
      </c>
      <c r="J122" s="554">
        <v>69</v>
      </c>
      <c r="K122" s="270">
        <v>83</v>
      </c>
    </row>
    <row r="123" spans="1:11">
      <c r="A123">
        <v>118</v>
      </c>
      <c r="B123" s="472" t="s">
        <v>1509</v>
      </c>
      <c r="C123" t="s">
        <v>1510</v>
      </c>
      <c r="G123" s="270">
        <v>118</v>
      </c>
      <c r="H123" s="472" t="s">
        <v>1509</v>
      </c>
      <c r="I123" s="270" t="s">
        <v>1510</v>
      </c>
      <c r="J123" s="554">
        <v>103</v>
      </c>
      <c r="K123" s="270">
        <v>102</v>
      </c>
    </row>
    <row r="124" spans="1:11">
      <c r="A124">
        <v>119</v>
      </c>
      <c r="B124" s="472" t="s">
        <v>1511</v>
      </c>
      <c r="C124" t="s">
        <v>1512</v>
      </c>
      <c r="G124" s="270">
        <v>119</v>
      </c>
      <c r="H124" s="472" t="s">
        <v>1511</v>
      </c>
      <c r="I124" s="270" t="s">
        <v>1512</v>
      </c>
      <c r="J124" s="554">
        <v>0</v>
      </c>
      <c r="K124" s="270">
        <v>0</v>
      </c>
    </row>
    <row r="125" spans="1:11">
      <c r="A125">
        <v>120</v>
      </c>
      <c r="B125" s="472" t="s">
        <v>1513</v>
      </c>
      <c r="C125" t="s">
        <v>1514</v>
      </c>
      <c r="G125" s="270">
        <v>120</v>
      </c>
      <c r="H125" s="472" t="s">
        <v>1513</v>
      </c>
      <c r="I125" s="270" t="s">
        <v>1514</v>
      </c>
      <c r="J125" s="554">
        <v>0</v>
      </c>
      <c r="K125" s="270">
        <v>0</v>
      </c>
    </row>
    <row r="126" spans="1:11">
      <c r="A126">
        <v>121</v>
      </c>
      <c r="B126" s="472" t="s">
        <v>1515</v>
      </c>
      <c r="C126" t="s">
        <v>1516</v>
      </c>
      <c r="G126" s="270">
        <v>121</v>
      </c>
      <c r="H126" s="472" t="s">
        <v>1515</v>
      </c>
      <c r="I126" s="270" t="s">
        <v>1516</v>
      </c>
      <c r="J126" s="554">
        <v>15</v>
      </c>
      <c r="K126" s="270">
        <v>10</v>
      </c>
    </row>
    <row r="127" spans="1:11">
      <c r="A127">
        <v>122</v>
      </c>
      <c r="B127" s="472" t="s">
        <v>1517</v>
      </c>
      <c r="C127" t="s">
        <v>1518</v>
      </c>
      <c r="G127" s="270">
        <v>122</v>
      </c>
      <c r="H127" s="472" t="s">
        <v>1517</v>
      </c>
      <c r="I127" s="270" t="s">
        <v>1518</v>
      </c>
      <c r="J127" s="554">
        <v>486</v>
      </c>
      <c r="K127" s="270">
        <v>493</v>
      </c>
    </row>
    <row r="128" spans="1:11">
      <c r="A128">
        <v>123</v>
      </c>
      <c r="B128" s="472" t="s">
        <v>1519</v>
      </c>
      <c r="C128" t="s">
        <v>1520</v>
      </c>
      <c r="G128" s="270">
        <v>123</v>
      </c>
      <c r="H128" s="472" t="s">
        <v>1519</v>
      </c>
      <c r="I128" s="270" t="s">
        <v>1520</v>
      </c>
      <c r="J128" s="554">
        <v>0</v>
      </c>
      <c r="K128" s="270">
        <v>0</v>
      </c>
    </row>
    <row r="129" spans="1:11">
      <c r="A129">
        <v>124</v>
      </c>
      <c r="B129" s="472" t="s">
        <v>1521</v>
      </c>
      <c r="C129" t="s">
        <v>1522</v>
      </c>
      <c r="G129" s="270">
        <v>124</v>
      </c>
      <c r="H129" s="472" t="s">
        <v>1521</v>
      </c>
      <c r="I129" s="270" t="s">
        <v>1522</v>
      </c>
      <c r="J129" s="554">
        <v>0</v>
      </c>
      <c r="K129" s="270">
        <v>0</v>
      </c>
    </row>
    <row r="130" spans="1:11">
      <c r="A130">
        <v>125</v>
      </c>
      <c r="B130" s="472" t="s">
        <v>1523</v>
      </c>
      <c r="C130" t="s">
        <v>1524</v>
      </c>
      <c r="G130" s="270">
        <v>125</v>
      </c>
      <c r="H130" s="472" t="s">
        <v>1523</v>
      </c>
      <c r="I130" s="270" t="s">
        <v>1524</v>
      </c>
      <c r="J130" s="554">
        <v>114</v>
      </c>
      <c r="K130" s="270">
        <v>117</v>
      </c>
    </row>
    <row r="131" spans="1:11">
      <c r="A131">
        <v>126</v>
      </c>
      <c r="B131" s="472" t="s">
        <v>1525</v>
      </c>
      <c r="C131" t="s">
        <v>1526</v>
      </c>
      <c r="G131" s="270">
        <v>126</v>
      </c>
      <c r="H131" s="472" t="s">
        <v>1525</v>
      </c>
      <c r="I131" s="270" t="s">
        <v>1526</v>
      </c>
      <c r="J131" s="554">
        <v>0</v>
      </c>
      <c r="K131" s="270">
        <v>0</v>
      </c>
    </row>
    <row r="132" spans="1:11">
      <c r="A132">
        <v>127</v>
      </c>
      <c r="B132" s="472" t="s">
        <v>1527</v>
      </c>
      <c r="C132" t="s">
        <v>1528</v>
      </c>
      <c r="G132" s="270">
        <v>127</v>
      </c>
      <c r="H132" s="472" t="s">
        <v>1527</v>
      </c>
      <c r="I132" s="270" t="s">
        <v>1528</v>
      </c>
      <c r="J132" s="554">
        <v>84</v>
      </c>
      <c r="K132" s="270">
        <v>90</v>
      </c>
    </row>
    <row r="133" spans="1:11">
      <c r="A133">
        <v>128</v>
      </c>
      <c r="B133" s="472" t="s">
        <v>1529</v>
      </c>
      <c r="C133" t="s">
        <v>1530</v>
      </c>
      <c r="G133" s="270">
        <v>128</v>
      </c>
      <c r="H133" s="472" t="s">
        <v>1529</v>
      </c>
      <c r="I133" s="270" t="s">
        <v>1530</v>
      </c>
      <c r="J133" s="554">
        <v>1825</v>
      </c>
      <c r="K133" s="270">
        <v>1858</v>
      </c>
    </row>
    <row r="134" spans="1:11">
      <c r="A134">
        <v>129</v>
      </c>
      <c r="B134" s="472" t="s">
        <v>1531</v>
      </c>
      <c r="C134" t="s">
        <v>1532</v>
      </c>
      <c r="G134" s="270">
        <v>129</v>
      </c>
      <c r="H134" s="472" t="s">
        <v>1531</v>
      </c>
      <c r="I134" s="270" t="s">
        <v>1532</v>
      </c>
      <c r="J134" s="554">
        <v>0</v>
      </c>
      <c r="K134" s="270">
        <v>0</v>
      </c>
    </row>
    <row r="135" spans="1:11">
      <c r="A135">
        <v>130</v>
      </c>
      <c r="B135" s="472" t="s">
        <v>1533</v>
      </c>
      <c r="C135" t="s">
        <v>1534</v>
      </c>
      <c r="G135" s="270">
        <v>130</v>
      </c>
      <c r="H135" s="472" t="s">
        <v>1533</v>
      </c>
      <c r="I135" s="270" t="s">
        <v>1534</v>
      </c>
      <c r="J135" s="554">
        <v>0</v>
      </c>
      <c r="K135" s="270">
        <v>0</v>
      </c>
    </row>
    <row r="136" spans="1:11">
      <c r="A136">
        <v>131</v>
      </c>
      <c r="B136" s="472" t="s">
        <v>1535</v>
      </c>
      <c r="C136" t="s">
        <v>1536</v>
      </c>
      <c r="G136" s="270">
        <v>131</v>
      </c>
      <c r="H136" s="472" t="s">
        <v>1535</v>
      </c>
      <c r="I136" s="270" t="s">
        <v>1536</v>
      </c>
      <c r="J136" s="554">
        <v>536</v>
      </c>
      <c r="K136" s="270">
        <v>604</v>
      </c>
    </row>
    <row r="137" spans="1:11">
      <c r="A137">
        <v>132</v>
      </c>
      <c r="B137" s="472" t="s">
        <v>1537</v>
      </c>
      <c r="C137" t="s">
        <v>1538</v>
      </c>
      <c r="G137" s="270">
        <v>132</v>
      </c>
      <c r="H137" s="472" t="s">
        <v>1537</v>
      </c>
      <c r="I137" s="270" t="s">
        <v>1538</v>
      </c>
      <c r="J137" s="554">
        <v>0</v>
      </c>
      <c r="K137" s="270">
        <v>0</v>
      </c>
    </row>
    <row r="138" spans="1:11">
      <c r="A138">
        <v>133</v>
      </c>
      <c r="B138" s="472" t="s">
        <v>1539</v>
      </c>
      <c r="C138" t="s">
        <v>1540</v>
      </c>
      <c r="G138" s="270">
        <v>133</v>
      </c>
      <c r="H138" s="472" t="s">
        <v>1539</v>
      </c>
      <c r="I138" s="270" t="s">
        <v>1540</v>
      </c>
      <c r="J138" s="554">
        <v>250</v>
      </c>
      <c r="K138" s="270">
        <v>269</v>
      </c>
    </row>
    <row r="139" spans="1:11">
      <c r="A139">
        <v>134</v>
      </c>
      <c r="B139" s="472" t="s">
        <v>1541</v>
      </c>
      <c r="C139" t="s">
        <v>1542</v>
      </c>
      <c r="G139" s="270">
        <v>134</v>
      </c>
      <c r="H139" s="472" t="s">
        <v>1541</v>
      </c>
      <c r="I139" s="270" t="s">
        <v>1542</v>
      </c>
      <c r="J139" s="554">
        <v>0</v>
      </c>
      <c r="K139" s="270">
        <v>0</v>
      </c>
    </row>
    <row r="140" spans="1:11">
      <c r="A140">
        <v>135</v>
      </c>
      <c r="B140" s="472" t="s">
        <v>1543</v>
      </c>
      <c r="C140" t="s">
        <v>1544</v>
      </c>
      <c r="G140" s="270">
        <v>135</v>
      </c>
      <c r="H140" s="472" t="s">
        <v>1543</v>
      </c>
      <c r="I140" s="270" t="s">
        <v>1544</v>
      </c>
      <c r="J140" s="554">
        <v>27</v>
      </c>
      <c r="K140" s="270">
        <v>32</v>
      </c>
    </row>
    <row r="141" spans="1:11">
      <c r="A141">
        <v>136</v>
      </c>
      <c r="B141" s="474">
        <v>136</v>
      </c>
      <c r="C141" t="s">
        <v>1545</v>
      </c>
      <c r="G141" s="270">
        <v>136</v>
      </c>
      <c r="H141" s="472">
        <v>136</v>
      </c>
      <c r="I141" s="270" t="s">
        <v>1545</v>
      </c>
      <c r="J141" s="554">
        <v>466</v>
      </c>
      <c r="K141" s="270">
        <v>477</v>
      </c>
    </row>
    <row r="142" spans="1:11">
      <c r="A142">
        <v>137</v>
      </c>
      <c r="B142" s="472" t="s">
        <v>1546</v>
      </c>
      <c r="C142" t="s">
        <v>1547</v>
      </c>
      <c r="G142" s="270">
        <v>137</v>
      </c>
      <c r="H142" s="472" t="s">
        <v>1546</v>
      </c>
      <c r="I142" s="270" t="s">
        <v>1547</v>
      </c>
      <c r="J142" s="554">
        <v>1460</v>
      </c>
      <c r="K142" s="270">
        <v>1495</v>
      </c>
    </row>
    <row r="143" spans="1:11">
      <c r="A143">
        <v>138</v>
      </c>
      <c r="B143" s="472" t="s">
        <v>1548</v>
      </c>
      <c r="C143" t="s">
        <v>1549</v>
      </c>
      <c r="G143" s="270">
        <v>138</v>
      </c>
      <c r="H143" s="472" t="s">
        <v>1548</v>
      </c>
      <c r="I143" s="270" t="s">
        <v>1549</v>
      </c>
      <c r="J143" s="554">
        <v>233</v>
      </c>
      <c r="K143" s="270">
        <v>239</v>
      </c>
    </row>
    <row r="144" spans="1:11">
      <c r="A144">
        <v>139</v>
      </c>
      <c r="B144" s="474">
        <v>139</v>
      </c>
      <c r="C144" t="s">
        <v>1550</v>
      </c>
      <c r="G144" s="270">
        <v>139</v>
      </c>
      <c r="H144" s="472">
        <v>139</v>
      </c>
      <c r="I144" s="270" t="s">
        <v>1550</v>
      </c>
      <c r="J144" s="554">
        <v>480</v>
      </c>
      <c r="K144" s="270">
        <v>476</v>
      </c>
    </row>
    <row r="145" spans="1:11">
      <c r="A145">
        <v>140</v>
      </c>
      <c r="B145" s="472" t="s">
        <v>1551</v>
      </c>
      <c r="C145" t="s">
        <v>1552</v>
      </c>
      <c r="G145" s="270">
        <v>140</v>
      </c>
      <c r="H145" s="472" t="s">
        <v>1551</v>
      </c>
      <c r="I145" s="270" t="s">
        <v>1552</v>
      </c>
      <c r="J145" s="554">
        <v>0</v>
      </c>
      <c r="K145" s="270">
        <v>0</v>
      </c>
    </row>
    <row r="146" spans="1:11">
      <c r="A146">
        <v>141</v>
      </c>
      <c r="B146" s="472" t="s">
        <v>1553</v>
      </c>
      <c r="C146" t="s">
        <v>1554</v>
      </c>
      <c r="G146" s="270">
        <v>141</v>
      </c>
      <c r="H146" s="472" t="s">
        <v>1553</v>
      </c>
      <c r="I146" s="270" t="s">
        <v>1554</v>
      </c>
      <c r="J146" s="554">
        <v>432</v>
      </c>
      <c r="K146" s="270">
        <v>440</v>
      </c>
    </row>
    <row r="147" spans="1:11">
      <c r="A147">
        <v>142</v>
      </c>
      <c r="B147" s="472" t="s">
        <v>1555</v>
      </c>
      <c r="C147" t="s">
        <v>1556</v>
      </c>
      <c r="G147" s="270">
        <v>142</v>
      </c>
      <c r="H147" s="472" t="s">
        <v>1555</v>
      </c>
      <c r="I147" s="270" t="s">
        <v>1556</v>
      </c>
      <c r="J147" s="554">
        <v>173</v>
      </c>
      <c r="K147" s="270">
        <v>188</v>
      </c>
    </row>
    <row r="148" spans="1:11">
      <c r="A148">
        <v>143</v>
      </c>
      <c r="B148" s="472" t="s">
        <v>1557</v>
      </c>
      <c r="C148" t="s">
        <v>1558</v>
      </c>
      <c r="G148" s="270">
        <v>143</v>
      </c>
      <c r="H148" s="472" t="s">
        <v>1557</v>
      </c>
      <c r="I148" s="270" t="s">
        <v>1558</v>
      </c>
      <c r="J148" s="554">
        <v>0</v>
      </c>
      <c r="K148" s="270">
        <v>0</v>
      </c>
    </row>
    <row r="149" spans="1:11">
      <c r="A149">
        <v>144</v>
      </c>
      <c r="B149" s="474">
        <v>144</v>
      </c>
      <c r="C149" t="s">
        <v>1559</v>
      </c>
      <c r="G149" s="270">
        <v>144</v>
      </c>
      <c r="H149" s="472">
        <v>144</v>
      </c>
      <c r="I149" s="270" t="s">
        <v>1559</v>
      </c>
      <c r="J149" s="554">
        <v>292</v>
      </c>
      <c r="K149" s="270">
        <v>310</v>
      </c>
    </row>
    <row r="150" spans="1:11">
      <c r="A150">
        <v>145</v>
      </c>
      <c r="B150" s="472" t="s">
        <v>1560</v>
      </c>
      <c r="C150" t="s">
        <v>1561</v>
      </c>
      <c r="G150" s="270">
        <v>145</v>
      </c>
      <c r="H150" s="472" t="s">
        <v>1560</v>
      </c>
      <c r="I150" s="270" t="s">
        <v>1561</v>
      </c>
      <c r="J150" s="554">
        <v>191</v>
      </c>
      <c r="K150" s="270">
        <v>197</v>
      </c>
    </row>
    <row r="151" spans="1:11">
      <c r="A151">
        <v>146</v>
      </c>
      <c r="B151" s="472" t="s">
        <v>1562</v>
      </c>
      <c r="C151" t="s">
        <v>1563</v>
      </c>
      <c r="G151" s="270">
        <v>146</v>
      </c>
      <c r="H151" s="472" t="s">
        <v>1562</v>
      </c>
      <c r="I151" s="270" t="s">
        <v>1563</v>
      </c>
      <c r="J151" s="554">
        <v>0</v>
      </c>
      <c r="K151" s="270">
        <v>0</v>
      </c>
    </row>
    <row r="152" spans="1:11">
      <c r="A152">
        <v>147</v>
      </c>
      <c r="B152" s="472" t="s">
        <v>1564</v>
      </c>
      <c r="C152" t="s">
        <v>1565</v>
      </c>
      <c r="G152" s="270">
        <v>147</v>
      </c>
      <c r="H152" s="472" t="s">
        <v>1564</v>
      </c>
      <c r="I152" s="270" t="s">
        <v>1565</v>
      </c>
      <c r="J152" s="554">
        <v>0</v>
      </c>
      <c r="K152" s="270">
        <v>0</v>
      </c>
    </row>
    <row r="153" spans="1:11">
      <c r="A153">
        <v>148</v>
      </c>
      <c r="B153" s="472" t="s">
        <v>1566</v>
      </c>
      <c r="C153" t="s">
        <v>1567</v>
      </c>
      <c r="G153" s="270">
        <v>148</v>
      </c>
      <c r="H153" s="472" t="s">
        <v>1566</v>
      </c>
      <c r="I153" s="270" t="s">
        <v>1567</v>
      </c>
      <c r="J153" s="554">
        <v>0</v>
      </c>
      <c r="K153" s="270">
        <v>0</v>
      </c>
    </row>
    <row r="154" spans="1:11">
      <c r="A154">
        <v>149</v>
      </c>
      <c r="B154" s="472" t="s">
        <v>1568</v>
      </c>
      <c r="C154" t="s">
        <v>1569</v>
      </c>
      <c r="G154" s="270">
        <v>149</v>
      </c>
      <c r="H154" s="472" t="s">
        <v>1568</v>
      </c>
      <c r="I154" s="270" t="s">
        <v>1569</v>
      </c>
      <c r="J154" s="554">
        <v>2521</v>
      </c>
      <c r="K154" s="270">
        <v>2529</v>
      </c>
    </row>
    <row r="155" spans="1:11">
      <c r="A155">
        <v>150</v>
      </c>
      <c r="B155" s="472" t="s">
        <v>1570</v>
      </c>
      <c r="C155" t="s">
        <v>1571</v>
      </c>
      <c r="G155" s="270">
        <v>150</v>
      </c>
      <c r="H155" s="472" t="s">
        <v>1570</v>
      </c>
      <c r="I155" s="270" t="s">
        <v>1571</v>
      </c>
      <c r="J155" s="554">
        <v>106</v>
      </c>
      <c r="K155" s="270">
        <v>106</v>
      </c>
    </row>
    <row r="156" spans="1:11">
      <c r="A156">
        <v>151</v>
      </c>
      <c r="B156" s="472" t="s">
        <v>1572</v>
      </c>
      <c r="C156" t="s">
        <v>1573</v>
      </c>
      <c r="G156" s="270">
        <v>151</v>
      </c>
      <c r="H156" s="472" t="s">
        <v>1572</v>
      </c>
      <c r="I156" s="270" t="s">
        <v>1573</v>
      </c>
      <c r="J156" s="554">
        <v>253</v>
      </c>
      <c r="K156" s="270">
        <v>253</v>
      </c>
    </row>
    <row r="157" spans="1:11">
      <c r="A157">
        <v>152</v>
      </c>
      <c r="B157" s="472" t="s">
        <v>1574</v>
      </c>
      <c r="C157" t="s">
        <v>1575</v>
      </c>
      <c r="G157" s="270">
        <v>152</v>
      </c>
      <c r="H157" s="472" t="s">
        <v>1574</v>
      </c>
      <c r="I157" s="270" t="s">
        <v>1575</v>
      </c>
      <c r="J157" s="554">
        <v>69</v>
      </c>
      <c r="K157" s="270">
        <v>78</v>
      </c>
    </row>
    <row r="158" spans="1:11">
      <c r="A158">
        <v>153</v>
      </c>
      <c r="B158" s="472" t="s">
        <v>1576</v>
      </c>
      <c r="C158" t="s">
        <v>1577</v>
      </c>
      <c r="G158" s="270">
        <v>153</v>
      </c>
      <c r="H158" s="472" t="s">
        <v>1576</v>
      </c>
      <c r="I158" s="270" t="s">
        <v>1577</v>
      </c>
      <c r="J158" s="554">
        <v>1418</v>
      </c>
      <c r="K158" s="270">
        <v>1441</v>
      </c>
    </row>
    <row r="159" spans="1:11">
      <c r="A159">
        <v>154</v>
      </c>
      <c r="B159" s="472" t="s">
        <v>1578</v>
      </c>
      <c r="C159" t="s">
        <v>1579</v>
      </c>
      <c r="G159" s="270">
        <v>154</v>
      </c>
      <c r="H159" s="472" t="s">
        <v>1578</v>
      </c>
      <c r="I159" s="270" t="s">
        <v>1579</v>
      </c>
      <c r="J159" s="554">
        <v>11</v>
      </c>
      <c r="K159" s="270">
        <v>15</v>
      </c>
    </row>
    <row r="160" spans="1:11">
      <c r="A160">
        <v>155</v>
      </c>
      <c r="B160" s="472" t="s">
        <v>1580</v>
      </c>
      <c r="C160" t="s">
        <v>1581</v>
      </c>
      <c r="G160" s="270">
        <v>155</v>
      </c>
      <c r="H160" s="472" t="s">
        <v>1580</v>
      </c>
      <c r="I160" s="270" t="s">
        <v>1581</v>
      </c>
      <c r="J160" s="554">
        <v>979</v>
      </c>
      <c r="K160" s="270">
        <v>1051</v>
      </c>
    </row>
    <row r="161" spans="1:11">
      <c r="A161">
        <v>156</v>
      </c>
      <c r="B161" s="472" t="s">
        <v>1582</v>
      </c>
      <c r="C161" t="s">
        <v>1583</v>
      </c>
      <c r="G161" s="270">
        <v>156</v>
      </c>
      <c r="H161" s="472" t="s">
        <v>1582</v>
      </c>
      <c r="I161" s="270" t="s">
        <v>1583</v>
      </c>
      <c r="J161" s="554">
        <v>0</v>
      </c>
      <c r="K161" s="270">
        <v>0</v>
      </c>
    </row>
    <row r="162" spans="1:11">
      <c r="A162">
        <v>157</v>
      </c>
      <c r="B162" s="472" t="s">
        <v>1584</v>
      </c>
      <c r="C162" t="s">
        <v>1585</v>
      </c>
      <c r="G162" s="270">
        <v>157</v>
      </c>
      <c r="H162" s="472" t="s">
        <v>1584</v>
      </c>
      <c r="I162" s="270" t="s">
        <v>1585</v>
      </c>
      <c r="J162" s="554">
        <v>189</v>
      </c>
      <c r="K162" s="270">
        <v>230</v>
      </c>
    </row>
    <row r="163" spans="1:11">
      <c r="A163">
        <v>158</v>
      </c>
      <c r="B163" s="472" t="s">
        <v>1586</v>
      </c>
      <c r="C163" t="s">
        <v>1587</v>
      </c>
      <c r="G163" s="270">
        <v>158</v>
      </c>
      <c r="H163" s="472" t="s">
        <v>1586</v>
      </c>
      <c r="I163" s="270" t="s">
        <v>1587</v>
      </c>
      <c r="J163" s="554">
        <v>235</v>
      </c>
      <c r="K163" s="270">
        <v>270</v>
      </c>
    </row>
    <row r="164" spans="1:11">
      <c r="A164">
        <v>159</v>
      </c>
      <c r="B164" s="472" t="s">
        <v>1588</v>
      </c>
      <c r="C164" t="s">
        <v>1589</v>
      </c>
      <c r="G164" s="270">
        <v>159</v>
      </c>
      <c r="H164" s="472" t="s">
        <v>1588</v>
      </c>
      <c r="I164" s="270" t="s">
        <v>1589</v>
      </c>
      <c r="J164" s="554">
        <v>502</v>
      </c>
      <c r="K164" s="270">
        <v>518</v>
      </c>
    </row>
    <row r="165" spans="1:11">
      <c r="A165">
        <v>160</v>
      </c>
      <c r="B165" s="472" t="s">
        <v>1590</v>
      </c>
      <c r="C165" t="s">
        <v>1591</v>
      </c>
      <c r="G165" s="270">
        <v>160</v>
      </c>
      <c r="H165" s="472" t="s">
        <v>1590</v>
      </c>
      <c r="I165" s="270" t="s">
        <v>1591</v>
      </c>
      <c r="J165" s="554">
        <v>2582</v>
      </c>
      <c r="K165" s="270">
        <v>2600</v>
      </c>
    </row>
    <row r="166" spans="1:11">
      <c r="A166">
        <v>161</v>
      </c>
      <c r="B166" s="472" t="s">
        <v>1592</v>
      </c>
      <c r="C166" t="s">
        <v>1593</v>
      </c>
      <c r="G166" s="270">
        <v>161</v>
      </c>
      <c r="H166" s="472" t="s">
        <v>1592</v>
      </c>
      <c r="I166" s="270" t="s">
        <v>1593</v>
      </c>
      <c r="J166" s="554">
        <v>412</v>
      </c>
      <c r="K166" s="270">
        <v>410</v>
      </c>
    </row>
    <row r="167" spans="1:11">
      <c r="A167">
        <v>162</v>
      </c>
      <c r="B167" s="472" t="s">
        <v>14</v>
      </c>
      <c r="C167" t="s">
        <v>1594</v>
      </c>
      <c r="G167" s="270">
        <v>162</v>
      </c>
      <c r="H167" s="472" t="s">
        <v>14</v>
      </c>
      <c r="I167" s="270" t="s">
        <v>1594</v>
      </c>
      <c r="J167" s="554">
        <v>261</v>
      </c>
      <c r="K167" s="270">
        <v>255</v>
      </c>
    </row>
    <row r="168" spans="1:11">
      <c r="A168">
        <v>163</v>
      </c>
      <c r="B168" s="472" t="s">
        <v>1595</v>
      </c>
      <c r="C168" t="s">
        <v>1596</v>
      </c>
      <c r="G168" s="270">
        <v>163</v>
      </c>
      <c r="H168" s="472" t="s">
        <v>1595</v>
      </c>
      <c r="I168" s="270" t="s">
        <v>1596</v>
      </c>
      <c r="J168" s="554">
        <v>2787</v>
      </c>
      <c r="K168" s="270">
        <v>2739</v>
      </c>
    </row>
    <row r="169" spans="1:11">
      <c r="A169">
        <v>164</v>
      </c>
      <c r="B169" s="472" t="s">
        <v>1597</v>
      </c>
      <c r="C169" t="s">
        <v>1598</v>
      </c>
      <c r="G169" s="270">
        <v>164</v>
      </c>
      <c r="H169" s="472" t="s">
        <v>1597</v>
      </c>
      <c r="I169" s="270" t="s">
        <v>1598</v>
      </c>
      <c r="J169" s="554">
        <v>378</v>
      </c>
      <c r="K169" s="270">
        <v>382</v>
      </c>
    </row>
    <row r="170" spans="1:11">
      <c r="A170">
        <v>165</v>
      </c>
      <c r="B170" s="472" t="s">
        <v>1599</v>
      </c>
      <c r="C170" t="s">
        <v>1600</v>
      </c>
      <c r="G170" s="270">
        <v>165</v>
      </c>
      <c r="H170" s="472" t="s">
        <v>1599</v>
      </c>
      <c r="I170" s="270" t="s">
        <v>1600</v>
      </c>
      <c r="J170" s="554">
        <v>1089</v>
      </c>
      <c r="K170" s="270">
        <v>1143</v>
      </c>
    </row>
    <row r="171" spans="1:11">
      <c r="A171">
        <v>166</v>
      </c>
      <c r="B171" s="472" t="s">
        <v>1601</v>
      </c>
      <c r="C171" t="s">
        <v>1602</v>
      </c>
      <c r="G171" s="270">
        <v>166</v>
      </c>
      <c r="H171" s="472" t="s">
        <v>1601</v>
      </c>
      <c r="I171" s="270" t="s">
        <v>1602</v>
      </c>
      <c r="J171" s="554">
        <v>0</v>
      </c>
      <c r="K171" s="270">
        <v>0</v>
      </c>
    </row>
    <row r="172" spans="1:11">
      <c r="A172">
        <v>167</v>
      </c>
      <c r="B172" s="472" t="s">
        <v>1603</v>
      </c>
      <c r="C172" t="s">
        <v>1604</v>
      </c>
      <c r="G172" s="270">
        <v>167</v>
      </c>
      <c r="H172" s="472" t="s">
        <v>1603</v>
      </c>
      <c r="I172" s="270" t="s">
        <v>1604</v>
      </c>
      <c r="J172" s="554">
        <v>559</v>
      </c>
      <c r="K172" s="270">
        <v>601</v>
      </c>
    </row>
    <row r="173" spans="1:11">
      <c r="A173">
        <v>168</v>
      </c>
      <c r="B173" s="472" t="s">
        <v>1605</v>
      </c>
      <c r="C173" t="s">
        <v>1606</v>
      </c>
      <c r="G173" s="270">
        <v>168</v>
      </c>
      <c r="H173" s="472" t="s">
        <v>1605</v>
      </c>
      <c r="I173" s="270" t="s">
        <v>1606</v>
      </c>
      <c r="J173" s="554">
        <v>617</v>
      </c>
      <c r="K173" s="270">
        <v>583</v>
      </c>
    </row>
    <row r="174" spans="1:11">
      <c r="A174">
        <v>169</v>
      </c>
      <c r="B174" s="472" t="s">
        <v>1607</v>
      </c>
      <c r="C174" t="s">
        <v>1608</v>
      </c>
      <c r="G174" s="270">
        <v>169</v>
      </c>
      <c r="H174" s="472" t="s">
        <v>1607</v>
      </c>
      <c r="I174" s="270" t="s">
        <v>1608</v>
      </c>
      <c r="J174" s="554">
        <v>83</v>
      </c>
      <c r="K174" s="270">
        <v>88</v>
      </c>
    </row>
    <row r="175" spans="1:11">
      <c r="A175">
        <v>170</v>
      </c>
      <c r="B175" s="472" t="s">
        <v>1609</v>
      </c>
      <c r="C175" t="s">
        <v>1610</v>
      </c>
      <c r="G175" s="270">
        <v>170</v>
      </c>
      <c r="H175" s="472" t="s">
        <v>1609</v>
      </c>
      <c r="I175" s="270" t="s">
        <v>1610</v>
      </c>
      <c r="J175" s="554">
        <v>818</v>
      </c>
      <c r="K175" s="270">
        <v>827</v>
      </c>
    </row>
    <row r="176" spans="1:11">
      <c r="A176">
        <v>171</v>
      </c>
      <c r="B176" s="472" t="s">
        <v>1611</v>
      </c>
      <c r="C176" t="s">
        <v>1612</v>
      </c>
      <c r="G176" s="270">
        <v>171</v>
      </c>
      <c r="H176" s="472" t="s">
        <v>1611</v>
      </c>
      <c r="I176" s="270" t="s">
        <v>1612</v>
      </c>
      <c r="J176" s="554">
        <v>718</v>
      </c>
      <c r="K176" s="270">
        <v>712</v>
      </c>
    </row>
    <row r="177" spans="1:11">
      <c r="A177">
        <v>172</v>
      </c>
      <c r="B177" s="472" t="s">
        <v>1613</v>
      </c>
      <c r="C177" t="s">
        <v>1614</v>
      </c>
      <c r="G177" s="270">
        <v>172</v>
      </c>
      <c r="H177" s="472" t="s">
        <v>1613</v>
      </c>
      <c r="I177" s="270" t="s">
        <v>1614</v>
      </c>
      <c r="J177" s="554">
        <v>229</v>
      </c>
      <c r="K177" s="270">
        <v>246</v>
      </c>
    </row>
    <row r="178" spans="1:11">
      <c r="A178">
        <v>173</v>
      </c>
      <c r="B178" s="472" t="s">
        <v>1615</v>
      </c>
      <c r="C178" t="s">
        <v>1616</v>
      </c>
      <c r="G178" s="270">
        <v>173</v>
      </c>
      <c r="H178" s="472" t="s">
        <v>1615</v>
      </c>
      <c r="I178" s="270" t="s">
        <v>1616</v>
      </c>
      <c r="J178" s="554">
        <v>66</v>
      </c>
      <c r="K178" s="270">
        <v>71</v>
      </c>
    </row>
    <row r="179" spans="1:11">
      <c r="A179">
        <v>174</v>
      </c>
      <c r="B179" s="472" t="s">
        <v>1617</v>
      </c>
      <c r="C179" t="s">
        <v>1618</v>
      </c>
      <c r="G179" s="270">
        <v>174</v>
      </c>
      <c r="H179" s="472" t="s">
        <v>1617</v>
      </c>
      <c r="I179" s="270" t="s">
        <v>1618</v>
      </c>
      <c r="J179" s="554">
        <v>232</v>
      </c>
      <c r="K179" s="270">
        <v>242</v>
      </c>
    </row>
    <row r="180" spans="1:11">
      <c r="A180">
        <v>175</v>
      </c>
      <c r="B180" s="472" t="s">
        <v>1619</v>
      </c>
      <c r="C180" t="s">
        <v>1620</v>
      </c>
      <c r="G180" s="270">
        <v>175</v>
      </c>
      <c r="H180" s="472" t="s">
        <v>1619</v>
      </c>
      <c r="I180" s="270" t="s">
        <v>1620</v>
      </c>
      <c r="J180" s="554">
        <v>314</v>
      </c>
      <c r="K180" s="270">
        <v>334</v>
      </c>
    </row>
    <row r="181" spans="1:11">
      <c r="A181">
        <v>176</v>
      </c>
      <c r="B181" s="472" t="s">
        <v>1621</v>
      </c>
      <c r="C181" t="s">
        <v>1622</v>
      </c>
      <c r="G181" s="270">
        <v>176</v>
      </c>
      <c r="H181" s="472" t="s">
        <v>1621</v>
      </c>
      <c r="I181" s="270" t="s">
        <v>1622</v>
      </c>
      <c r="J181" s="554">
        <v>773</v>
      </c>
      <c r="K181" s="270">
        <v>836</v>
      </c>
    </row>
    <row r="182" spans="1:11">
      <c r="A182">
        <v>177</v>
      </c>
      <c r="B182" s="472" t="s">
        <v>1623</v>
      </c>
      <c r="C182" t="s">
        <v>1624</v>
      </c>
      <c r="G182" s="270">
        <v>177</v>
      </c>
      <c r="H182" s="472" t="s">
        <v>1623</v>
      </c>
      <c r="I182" s="270" t="s">
        <v>1624</v>
      </c>
      <c r="J182" s="554">
        <v>359</v>
      </c>
      <c r="K182" s="270">
        <v>380</v>
      </c>
    </row>
    <row r="183" spans="1:11">
      <c r="A183">
        <v>178</v>
      </c>
      <c r="B183" s="472" t="s">
        <v>1625</v>
      </c>
      <c r="C183" t="s">
        <v>1626</v>
      </c>
      <c r="G183" s="270">
        <v>178</v>
      </c>
      <c r="H183" s="472" t="s">
        <v>1625</v>
      </c>
      <c r="I183" s="270" t="s">
        <v>1626</v>
      </c>
      <c r="J183" s="554">
        <v>624</v>
      </c>
      <c r="K183" s="270">
        <v>609</v>
      </c>
    </row>
    <row r="184" spans="1:11">
      <c r="A184">
        <v>179</v>
      </c>
      <c r="B184" s="472" t="s">
        <v>1627</v>
      </c>
      <c r="C184" t="s">
        <v>1628</v>
      </c>
      <c r="G184" s="270">
        <v>179</v>
      </c>
      <c r="H184" s="472" t="s">
        <v>1627</v>
      </c>
      <c r="I184" s="270" t="s">
        <v>1628</v>
      </c>
      <c r="J184" s="554">
        <v>0</v>
      </c>
      <c r="K184" s="270">
        <v>0</v>
      </c>
    </row>
    <row r="185" spans="1:11">
      <c r="A185">
        <v>180</v>
      </c>
      <c r="B185" s="472" t="s">
        <v>1629</v>
      </c>
      <c r="C185" t="s">
        <v>1630</v>
      </c>
      <c r="G185" s="270">
        <v>180</v>
      </c>
      <c r="H185" s="472" t="s">
        <v>1629</v>
      </c>
      <c r="I185" s="270" t="s">
        <v>1630</v>
      </c>
      <c r="J185" s="554">
        <v>0</v>
      </c>
      <c r="K185" s="270">
        <v>0</v>
      </c>
    </row>
    <row r="186" spans="1:11">
      <c r="A186">
        <v>181</v>
      </c>
      <c r="B186" s="472" t="s">
        <v>1631</v>
      </c>
      <c r="C186" t="s">
        <v>1632</v>
      </c>
      <c r="G186" s="270">
        <v>181</v>
      </c>
      <c r="H186" s="472" t="s">
        <v>1631</v>
      </c>
      <c r="I186" s="270" t="s">
        <v>1632</v>
      </c>
      <c r="J186" s="554">
        <v>1289</v>
      </c>
      <c r="K186" s="270">
        <v>1328</v>
      </c>
    </row>
    <row r="187" spans="1:11">
      <c r="A187">
        <v>182</v>
      </c>
      <c r="B187" s="472" t="s">
        <v>1633</v>
      </c>
      <c r="C187" t="s">
        <v>1634</v>
      </c>
      <c r="G187" s="270">
        <v>182</v>
      </c>
      <c r="H187" s="472" t="s">
        <v>1633</v>
      </c>
      <c r="I187" s="270" t="s">
        <v>1634</v>
      </c>
      <c r="J187" s="554">
        <v>562</v>
      </c>
      <c r="K187" s="270">
        <v>589</v>
      </c>
    </row>
    <row r="188" spans="1:11">
      <c r="A188">
        <v>183</v>
      </c>
      <c r="B188" s="472" t="s">
        <v>1635</v>
      </c>
      <c r="C188" t="s">
        <v>1636</v>
      </c>
      <c r="G188" s="270">
        <v>183</v>
      </c>
      <c r="H188" s="472" t="s">
        <v>1635</v>
      </c>
      <c r="I188" s="270" t="s">
        <v>1636</v>
      </c>
      <c r="J188" s="554">
        <v>0</v>
      </c>
      <c r="K188" s="270">
        <v>0</v>
      </c>
    </row>
    <row r="189" spans="1:11">
      <c r="A189">
        <v>184</v>
      </c>
      <c r="B189" s="472" t="s">
        <v>1637</v>
      </c>
      <c r="C189" t="s">
        <v>1638</v>
      </c>
      <c r="G189" s="270">
        <v>184</v>
      </c>
      <c r="H189" s="472" t="s">
        <v>1637</v>
      </c>
      <c r="I189" s="270" t="s">
        <v>1638</v>
      </c>
      <c r="J189" s="554">
        <v>108</v>
      </c>
      <c r="K189" s="270">
        <v>121</v>
      </c>
    </row>
    <row r="190" spans="1:11">
      <c r="A190">
        <v>185</v>
      </c>
      <c r="B190" s="472" t="s">
        <v>1639</v>
      </c>
      <c r="C190" t="s">
        <v>1640</v>
      </c>
      <c r="G190" s="270">
        <v>185</v>
      </c>
      <c r="H190" s="472" t="s">
        <v>1639</v>
      </c>
      <c r="I190" s="270" t="s">
        <v>1640</v>
      </c>
      <c r="J190" s="554">
        <v>732</v>
      </c>
      <c r="K190" s="270">
        <v>726</v>
      </c>
    </row>
    <row r="191" spans="1:11">
      <c r="A191">
        <v>186</v>
      </c>
      <c r="B191" s="472" t="s">
        <v>1641</v>
      </c>
      <c r="C191" t="s">
        <v>1642</v>
      </c>
      <c r="G191" s="270">
        <v>186</v>
      </c>
      <c r="H191" s="472" t="s">
        <v>1641</v>
      </c>
      <c r="I191" s="270" t="s">
        <v>1642</v>
      </c>
      <c r="J191" s="554">
        <v>307</v>
      </c>
      <c r="K191" s="270">
        <v>332</v>
      </c>
    </row>
    <row r="192" spans="1:11">
      <c r="A192">
        <v>187</v>
      </c>
      <c r="B192" s="472" t="s">
        <v>1643</v>
      </c>
      <c r="C192" t="s">
        <v>1644</v>
      </c>
      <c r="G192" s="270">
        <v>187</v>
      </c>
      <c r="H192" s="472" t="s">
        <v>1643</v>
      </c>
      <c r="I192" s="270" t="s">
        <v>1644</v>
      </c>
      <c r="J192" s="554">
        <v>160</v>
      </c>
      <c r="K192" s="270">
        <v>163</v>
      </c>
    </row>
    <row r="193" spans="1:11">
      <c r="A193">
        <v>188</v>
      </c>
      <c r="B193" s="472" t="s">
        <v>1645</v>
      </c>
      <c r="C193" t="s">
        <v>1646</v>
      </c>
      <c r="G193" s="270">
        <v>188</v>
      </c>
      <c r="H193" s="472" t="s">
        <v>1645</v>
      </c>
      <c r="I193" s="270" t="s">
        <v>1646</v>
      </c>
      <c r="J193" s="554">
        <v>0</v>
      </c>
      <c r="K193" s="270">
        <v>0</v>
      </c>
    </row>
    <row r="194" spans="1:11">
      <c r="A194">
        <v>189</v>
      </c>
      <c r="B194" s="472" t="s">
        <v>1647</v>
      </c>
      <c r="C194" t="s">
        <v>1648</v>
      </c>
      <c r="G194" s="270">
        <v>189</v>
      </c>
      <c r="H194" s="472" t="s">
        <v>1647</v>
      </c>
      <c r="I194" s="270" t="s">
        <v>1648</v>
      </c>
      <c r="J194" s="554">
        <v>706</v>
      </c>
      <c r="K194" s="270">
        <v>642</v>
      </c>
    </row>
    <row r="195" spans="1:11">
      <c r="A195">
        <v>190</v>
      </c>
      <c r="B195" s="472" t="s">
        <v>1649</v>
      </c>
      <c r="C195" t="s">
        <v>1650</v>
      </c>
      <c r="G195" s="270">
        <v>190</v>
      </c>
      <c r="H195" s="472" t="s">
        <v>1649</v>
      </c>
      <c r="I195" s="270" t="s">
        <v>1650</v>
      </c>
      <c r="J195" s="554">
        <v>0</v>
      </c>
      <c r="K195" s="270">
        <v>0</v>
      </c>
    </row>
    <row r="196" spans="1:11">
      <c r="A196">
        <v>191</v>
      </c>
      <c r="B196" s="472" t="s">
        <v>1651</v>
      </c>
      <c r="C196" t="s">
        <v>1652</v>
      </c>
      <c r="G196" s="270">
        <v>191</v>
      </c>
      <c r="H196" s="472" t="s">
        <v>1651</v>
      </c>
      <c r="I196" s="270" t="s">
        <v>1652</v>
      </c>
      <c r="J196" s="554">
        <v>170</v>
      </c>
      <c r="K196" s="270">
        <v>179</v>
      </c>
    </row>
    <row r="197" spans="1:11">
      <c r="A197">
        <v>192</v>
      </c>
      <c r="B197" s="472" t="s">
        <v>1653</v>
      </c>
      <c r="C197" t="s">
        <v>1654</v>
      </c>
      <c r="G197" s="270">
        <v>192</v>
      </c>
      <c r="H197" s="472" t="s">
        <v>1653</v>
      </c>
      <c r="I197" s="270" t="s">
        <v>1654</v>
      </c>
      <c r="J197" s="554">
        <v>0</v>
      </c>
      <c r="K197" s="270">
        <v>0</v>
      </c>
    </row>
    <row r="198" spans="1:11">
      <c r="A198">
        <v>193</v>
      </c>
      <c r="B198" s="472" t="s">
        <v>1655</v>
      </c>
      <c r="C198" t="s">
        <v>1656</v>
      </c>
      <c r="G198" s="270">
        <v>193</v>
      </c>
      <c r="H198" s="472" t="s">
        <v>1655</v>
      </c>
      <c r="I198" s="270" t="s">
        <v>1656</v>
      </c>
      <c r="J198" s="554">
        <v>0</v>
      </c>
      <c r="K198" s="270">
        <v>0</v>
      </c>
    </row>
    <row r="199" spans="1:11">
      <c r="A199">
        <v>194</v>
      </c>
      <c r="B199" s="472" t="s">
        <v>1657</v>
      </c>
      <c r="C199" t="s">
        <v>1658</v>
      </c>
      <c r="G199" s="270">
        <v>194</v>
      </c>
      <c r="H199" s="472" t="s">
        <v>1657</v>
      </c>
      <c r="I199" s="270" t="s">
        <v>1658</v>
      </c>
      <c r="J199" s="554">
        <v>0</v>
      </c>
      <c r="K199" s="270">
        <v>0</v>
      </c>
    </row>
    <row r="200" spans="1:11">
      <c r="A200">
        <v>195</v>
      </c>
      <c r="B200" s="472" t="s">
        <v>1659</v>
      </c>
      <c r="C200" t="s">
        <v>1660</v>
      </c>
      <c r="G200" s="270">
        <v>195</v>
      </c>
      <c r="H200" s="472" t="s">
        <v>1659</v>
      </c>
      <c r="I200" s="270" t="s">
        <v>1660</v>
      </c>
      <c r="J200" s="554">
        <v>0</v>
      </c>
      <c r="K200" s="270">
        <v>0</v>
      </c>
    </row>
    <row r="201" spans="1:11">
      <c r="A201">
        <v>196</v>
      </c>
      <c r="B201" s="472" t="s">
        <v>1661</v>
      </c>
      <c r="C201" t="s">
        <v>1662</v>
      </c>
      <c r="G201" s="270">
        <v>196</v>
      </c>
      <c r="H201" s="472" t="s">
        <v>1661</v>
      </c>
      <c r="I201" s="270" t="s">
        <v>1662</v>
      </c>
      <c r="J201" s="554">
        <v>31</v>
      </c>
      <c r="K201" s="270">
        <v>34</v>
      </c>
    </row>
    <row r="202" spans="1:11">
      <c r="A202">
        <v>197</v>
      </c>
      <c r="B202" s="472" t="s">
        <v>1663</v>
      </c>
      <c r="C202" t="s">
        <v>1664</v>
      </c>
      <c r="G202" s="270">
        <v>197</v>
      </c>
      <c r="H202" s="472" t="s">
        <v>1663</v>
      </c>
      <c r="I202" s="270" t="s">
        <v>1664</v>
      </c>
      <c r="J202" s="554">
        <v>267</v>
      </c>
      <c r="K202" s="270">
        <v>263</v>
      </c>
    </row>
    <row r="203" spans="1:11">
      <c r="A203">
        <v>198</v>
      </c>
      <c r="B203" s="472" t="s">
        <v>1665</v>
      </c>
      <c r="C203" t="s">
        <v>1666</v>
      </c>
      <c r="G203" s="270">
        <v>198</v>
      </c>
      <c r="H203" s="472" t="s">
        <v>1665</v>
      </c>
      <c r="I203" s="270" t="s">
        <v>1666</v>
      </c>
      <c r="J203" s="554">
        <v>787</v>
      </c>
      <c r="K203" s="270">
        <v>859</v>
      </c>
    </row>
    <row r="204" spans="1:11">
      <c r="A204">
        <v>199</v>
      </c>
      <c r="B204" s="472" t="s">
        <v>1667</v>
      </c>
      <c r="C204" t="s">
        <v>1668</v>
      </c>
      <c r="G204" s="270">
        <v>199</v>
      </c>
      <c r="H204" s="472" t="s">
        <v>1667</v>
      </c>
      <c r="I204" s="270" t="s">
        <v>1668</v>
      </c>
      <c r="J204" s="554">
        <v>968</v>
      </c>
      <c r="K204" s="270">
        <v>1003</v>
      </c>
    </row>
    <row r="205" spans="1:11">
      <c r="A205">
        <v>200</v>
      </c>
      <c r="B205" s="472" t="s">
        <v>1669</v>
      </c>
      <c r="C205" t="s">
        <v>1670</v>
      </c>
      <c r="G205" s="270">
        <v>200</v>
      </c>
      <c r="H205" s="472" t="s">
        <v>1669</v>
      </c>
      <c r="I205" s="270" t="s">
        <v>1670</v>
      </c>
      <c r="J205" s="554">
        <v>0</v>
      </c>
      <c r="K205" s="270">
        <v>0</v>
      </c>
    </row>
    <row r="206" spans="1:11">
      <c r="A206">
        <v>201</v>
      </c>
      <c r="B206" s="472" t="s">
        <v>1671</v>
      </c>
      <c r="C206" t="s">
        <v>1672</v>
      </c>
      <c r="G206" s="270">
        <v>201</v>
      </c>
      <c r="H206" s="472" t="s">
        <v>1671</v>
      </c>
      <c r="I206" s="270" t="s">
        <v>1672</v>
      </c>
      <c r="J206" s="554">
        <v>2816</v>
      </c>
      <c r="K206" s="270">
        <v>2720</v>
      </c>
    </row>
    <row r="207" spans="1:11">
      <c r="A207">
        <v>202</v>
      </c>
      <c r="B207" s="472" t="s">
        <v>1673</v>
      </c>
      <c r="C207" t="s">
        <v>1674</v>
      </c>
      <c r="G207" s="270">
        <v>202</v>
      </c>
      <c r="H207" s="472" t="s">
        <v>1673</v>
      </c>
      <c r="I207" s="270" t="s">
        <v>1674</v>
      </c>
      <c r="J207" s="554">
        <v>0</v>
      </c>
      <c r="K207" s="270">
        <v>0</v>
      </c>
    </row>
    <row r="208" spans="1:11">
      <c r="A208">
        <v>203</v>
      </c>
      <c r="B208" s="472" t="s">
        <v>1675</v>
      </c>
      <c r="C208" t="s">
        <v>1676</v>
      </c>
      <c r="G208" s="270">
        <v>203</v>
      </c>
      <c r="H208" s="472" t="s">
        <v>1675</v>
      </c>
      <c r="I208" s="270" t="s">
        <v>1676</v>
      </c>
      <c r="J208" s="554">
        <v>0</v>
      </c>
      <c r="K208" s="270">
        <v>0</v>
      </c>
    </row>
    <row r="209" spans="1:11">
      <c r="A209">
        <v>204</v>
      </c>
      <c r="B209" s="472" t="s">
        <v>1677</v>
      </c>
      <c r="C209" t="s">
        <v>1678</v>
      </c>
      <c r="G209" s="270">
        <v>204</v>
      </c>
      <c r="H209" s="472" t="s">
        <v>1677</v>
      </c>
      <c r="I209" s="270" t="s">
        <v>1678</v>
      </c>
      <c r="J209" s="554">
        <v>416</v>
      </c>
      <c r="K209" s="270">
        <v>408</v>
      </c>
    </row>
    <row r="210" spans="1:11">
      <c r="A210">
        <v>205</v>
      </c>
      <c r="B210" s="472" t="s">
        <v>1679</v>
      </c>
      <c r="C210" t="s">
        <v>1680</v>
      </c>
      <c r="G210" s="270">
        <v>205</v>
      </c>
      <c r="H210" s="472" t="s">
        <v>1679</v>
      </c>
      <c r="I210" s="270" t="s">
        <v>1680</v>
      </c>
      <c r="J210" s="554">
        <v>0</v>
      </c>
      <c r="K210" s="270">
        <v>0</v>
      </c>
    </row>
    <row r="211" spans="1:11">
      <c r="A211">
        <v>206</v>
      </c>
      <c r="B211" s="472" t="s">
        <v>1681</v>
      </c>
      <c r="C211" t="s">
        <v>1682</v>
      </c>
      <c r="G211" s="270">
        <v>206</v>
      </c>
      <c r="H211" s="472" t="s">
        <v>1681</v>
      </c>
      <c r="I211" s="270" t="s">
        <v>1682</v>
      </c>
      <c r="J211" s="554">
        <v>0</v>
      </c>
      <c r="K211" s="270">
        <v>0</v>
      </c>
    </row>
    <row r="212" spans="1:11">
      <c r="A212">
        <v>207</v>
      </c>
      <c r="B212" s="472" t="s">
        <v>1683</v>
      </c>
      <c r="C212" t="s">
        <v>1684</v>
      </c>
      <c r="G212" s="270">
        <v>207</v>
      </c>
      <c r="H212" s="472" t="s">
        <v>1683</v>
      </c>
      <c r="I212" s="270" t="s">
        <v>1684</v>
      </c>
      <c r="J212" s="554">
        <v>2217</v>
      </c>
      <c r="K212" s="270">
        <v>2316</v>
      </c>
    </row>
    <row r="213" spans="1:11">
      <c r="A213">
        <v>208</v>
      </c>
      <c r="B213" s="472" t="s">
        <v>1685</v>
      </c>
      <c r="C213" t="s">
        <v>1686</v>
      </c>
      <c r="G213" s="270">
        <v>208</v>
      </c>
      <c r="H213" s="472" t="s">
        <v>1685</v>
      </c>
      <c r="I213" s="270" t="s">
        <v>1686</v>
      </c>
      <c r="J213" s="554">
        <v>183</v>
      </c>
      <c r="K213" s="270">
        <v>182</v>
      </c>
    </row>
    <row r="214" spans="1:11">
      <c r="A214">
        <v>209</v>
      </c>
      <c r="B214" s="472" t="s">
        <v>1687</v>
      </c>
      <c r="C214" t="s">
        <v>1688</v>
      </c>
      <c r="G214" s="270">
        <v>209</v>
      </c>
      <c r="H214" s="472" t="s">
        <v>1687</v>
      </c>
      <c r="I214" s="270" t="s">
        <v>1688</v>
      </c>
      <c r="J214" s="554">
        <v>318</v>
      </c>
      <c r="K214" s="270">
        <v>342</v>
      </c>
    </row>
    <row r="215" spans="1:11">
      <c r="A215">
        <v>210</v>
      </c>
      <c r="B215" s="472" t="s">
        <v>1689</v>
      </c>
      <c r="C215" t="s">
        <v>1690</v>
      </c>
      <c r="G215" s="270">
        <v>210</v>
      </c>
      <c r="H215" s="472" t="s">
        <v>1689</v>
      </c>
      <c r="I215" s="270" t="s">
        <v>1690</v>
      </c>
      <c r="J215" s="554">
        <v>536</v>
      </c>
      <c r="K215" s="270">
        <v>548</v>
      </c>
    </row>
    <row r="216" spans="1:11">
      <c r="A216">
        <v>211</v>
      </c>
      <c r="B216" s="472" t="s">
        <v>1691</v>
      </c>
      <c r="C216" t="s">
        <v>1692</v>
      </c>
      <c r="G216" s="270">
        <v>211</v>
      </c>
      <c r="H216" s="472" t="s">
        <v>1691</v>
      </c>
      <c r="I216" s="270" t="s">
        <v>1692</v>
      </c>
      <c r="J216" s="554">
        <v>792</v>
      </c>
      <c r="K216" s="270">
        <v>752</v>
      </c>
    </row>
    <row r="217" spans="1:11">
      <c r="A217">
        <v>212</v>
      </c>
      <c r="B217" s="472" t="s">
        <v>1693</v>
      </c>
      <c r="C217" t="s">
        <v>1694</v>
      </c>
      <c r="G217" s="270">
        <v>212</v>
      </c>
      <c r="H217" s="472" t="s">
        <v>1693</v>
      </c>
      <c r="I217" s="270" t="s">
        <v>1694</v>
      </c>
      <c r="J217" s="554">
        <v>735</v>
      </c>
      <c r="K217" s="270">
        <v>700</v>
      </c>
    </row>
    <row r="218" spans="1:11">
      <c r="A218">
        <v>213</v>
      </c>
      <c r="B218" s="472" t="s">
        <v>1695</v>
      </c>
      <c r="C218" t="s">
        <v>1696</v>
      </c>
      <c r="G218" s="270">
        <v>213</v>
      </c>
      <c r="H218" s="472" t="s">
        <v>1695</v>
      </c>
      <c r="I218" s="270" t="s">
        <v>1696</v>
      </c>
      <c r="J218" s="554">
        <v>305</v>
      </c>
      <c r="K218" s="270">
        <v>330</v>
      </c>
    </row>
    <row r="219" spans="1:11">
      <c r="A219">
        <v>214</v>
      </c>
      <c r="B219" s="472" t="s">
        <v>1697</v>
      </c>
      <c r="C219" t="s">
        <v>1698</v>
      </c>
      <c r="G219" s="270">
        <v>214</v>
      </c>
      <c r="H219" s="472" t="s">
        <v>1697</v>
      </c>
      <c r="I219" s="270" t="s">
        <v>1698</v>
      </c>
      <c r="J219" s="554">
        <v>358</v>
      </c>
      <c r="K219" s="270">
        <v>325</v>
      </c>
    </row>
    <row r="220" spans="1:11">
      <c r="A220">
        <v>215</v>
      </c>
      <c r="B220" s="472" t="s">
        <v>1699</v>
      </c>
      <c r="C220" t="s">
        <v>1700</v>
      </c>
      <c r="G220" s="270">
        <v>215</v>
      </c>
      <c r="H220" s="472" t="s">
        <v>1699</v>
      </c>
      <c r="I220" s="270" t="s">
        <v>1700</v>
      </c>
      <c r="J220" s="554">
        <v>121</v>
      </c>
      <c r="K220" s="270">
        <v>124</v>
      </c>
    </row>
    <row r="221" spans="1:11">
      <c r="A221">
        <v>216</v>
      </c>
      <c r="B221" s="472" t="s">
        <v>1701</v>
      </c>
      <c r="C221" t="s">
        <v>1702</v>
      </c>
      <c r="G221" s="270">
        <v>216</v>
      </c>
      <c r="H221" s="472" t="s">
        <v>1701</v>
      </c>
      <c r="I221" s="270" t="s">
        <v>1702</v>
      </c>
      <c r="J221" s="554">
        <v>0</v>
      </c>
      <c r="K221" s="270">
        <v>0</v>
      </c>
    </row>
    <row r="222" spans="1:11">
      <c r="A222">
        <v>217</v>
      </c>
      <c r="B222" s="472" t="s">
        <v>1703</v>
      </c>
      <c r="C222" t="s">
        <v>1704</v>
      </c>
      <c r="G222" s="270">
        <v>217</v>
      </c>
      <c r="H222" s="472" t="s">
        <v>1703</v>
      </c>
      <c r="I222" s="270" t="s">
        <v>1704</v>
      </c>
      <c r="J222" s="554">
        <v>422</v>
      </c>
      <c r="K222" s="270">
        <v>441</v>
      </c>
    </row>
    <row r="223" spans="1:11">
      <c r="A223">
        <v>218</v>
      </c>
      <c r="B223" s="472" t="s">
        <v>1705</v>
      </c>
      <c r="C223" t="s">
        <v>1706</v>
      </c>
      <c r="G223" s="270">
        <v>218</v>
      </c>
      <c r="H223" s="472" t="s">
        <v>1705</v>
      </c>
      <c r="I223" s="270" t="s">
        <v>1706</v>
      </c>
      <c r="J223" s="554">
        <v>522</v>
      </c>
      <c r="K223" s="270">
        <v>521</v>
      </c>
    </row>
    <row r="224" spans="1:11">
      <c r="A224">
        <v>219</v>
      </c>
      <c r="B224" s="472" t="s">
        <v>1707</v>
      </c>
      <c r="C224" t="s">
        <v>1708</v>
      </c>
      <c r="G224" s="270">
        <v>219</v>
      </c>
      <c r="H224" s="472" t="s">
        <v>1707</v>
      </c>
      <c r="I224" s="270" t="s">
        <v>1708</v>
      </c>
      <c r="J224" s="554">
        <v>349</v>
      </c>
      <c r="K224" s="270">
        <v>358</v>
      </c>
    </row>
    <row r="225" spans="1:11">
      <c r="A225">
        <v>220</v>
      </c>
      <c r="B225" s="472" t="s">
        <v>1709</v>
      </c>
      <c r="C225" t="s">
        <v>1710</v>
      </c>
      <c r="G225" s="270">
        <v>220</v>
      </c>
      <c r="H225" s="472" t="s">
        <v>1709</v>
      </c>
      <c r="I225" s="270" t="s">
        <v>1710</v>
      </c>
      <c r="J225" s="554">
        <v>753</v>
      </c>
      <c r="K225" s="270">
        <v>736</v>
      </c>
    </row>
    <row r="226" spans="1:11">
      <c r="A226">
        <v>221</v>
      </c>
      <c r="B226" s="472" t="s">
        <v>1711</v>
      </c>
      <c r="C226" t="s">
        <v>1712</v>
      </c>
      <c r="G226" s="270">
        <v>221</v>
      </c>
      <c r="H226" s="472" t="s">
        <v>1711</v>
      </c>
      <c r="I226" s="270" t="s">
        <v>1712</v>
      </c>
      <c r="J226" s="554">
        <v>93</v>
      </c>
      <c r="K226" s="270">
        <v>105</v>
      </c>
    </row>
    <row r="227" spans="1:11">
      <c r="A227">
        <v>222</v>
      </c>
      <c r="B227" s="472" t="s">
        <v>1713</v>
      </c>
      <c r="C227" t="s">
        <v>1714</v>
      </c>
      <c r="G227" s="270">
        <v>222</v>
      </c>
      <c r="H227" s="472" t="s">
        <v>1713</v>
      </c>
      <c r="I227" s="270" t="s">
        <v>1714</v>
      </c>
      <c r="J227" s="554">
        <v>0</v>
      </c>
      <c r="K227" s="270">
        <v>0</v>
      </c>
    </row>
    <row r="228" spans="1:11">
      <c r="A228">
        <v>223</v>
      </c>
      <c r="B228" s="472" t="s">
        <v>1715</v>
      </c>
      <c r="C228" t="s">
        <v>1716</v>
      </c>
      <c r="G228" s="270">
        <v>223</v>
      </c>
      <c r="H228" s="472" t="s">
        <v>1715</v>
      </c>
      <c r="I228" s="270" t="s">
        <v>1716</v>
      </c>
      <c r="J228" s="554">
        <v>138</v>
      </c>
      <c r="K228" s="270">
        <v>143</v>
      </c>
    </row>
    <row r="229" spans="1:11">
      <c r="A229">
        <v>224</v>
      </c>
      <c r="B229" s="472" t="s">
        <v>1717</v>
      </c>
      <c r="C229" t="s">
        <v>1718</v>
      </c>
      <c r="G229" s="270">
        <v>224</v>
      </c>
      <c r="H229" s="472" t="s">
        <v>1717</v>
      </c>
      <c r="I229" s="270" t="s">
        <v>1718</v>
      </c>
      <c r="J229" s="554">
        <v>34</v>
      </c>
      <c r="K229" s="270">
        <v>34</v>
      </c>
    </row>
    <row r="230" spans="1:11">
      <c r="A230">
        <v>225</v>
      </c>
      <c r="B230" s="472" t="s">
        <v>1719</v>
      </c>
      <c r="C230" t="s">
        <v>1720</v>
      </c>
      <c r="G230" s="270">
        <v>225</v>
      </c>
      <c r="H230" s="472" t="s">
        <v>1719</v>
      </c>
      <c r="I230" s="270" t="s">
        <v>1720</v>
      </c>
      <c r="J230" s="554">
        <v>0</v>
      </c>
      <c r="K230" s="270">
        <v>0</v>
      </c>
    </row>
    <row r="231" spans="1:11">
      <c r="A231">
        <v>226</v>
      </c>
      <c r="B231" s="472" t="s">
        <v>1721</v>
      </c>
      <c r="C231" t="s">
        <v>1722</v>
      </c>
      <c r="G231" s="270">
        <v>226</v>
      </c>
      <c r="H231" s="472" t="s">
        <v>1721</v>
      </c>
      <c r="I231" s="270" t="s">
        <v>1722</v>
      </c>
      <c r="J231" s="554">
        <v>257</v>
      </c>
      <c r="K231" s="270">
        <v>263</v>
      </c>
    </row>
    <row r="232" spans="1:11">
      <c r="A232">
        <v>227</v>
      </c>
      <c r="B232" s="472" t="s">
        <v>1723</v>
      </c>
      <c r="C232" t="s">
        <v>1724</v>
      </c>
      <c r="G232" s="270">
        <v>227</v>
      </c>
      <c r="H232" s="472" t="s">
        <v>1723</v>
      </c>
      <c r="I232" s="270" t="s">
        <v>1724</v>
      </c>
      <c r="J232" s="554">
        <v>220</v>
      </c>
      <c r="K232" s="270">
        <v>260</v>
      </c>
    </row>
    <row r="233" spans="1:11">
      <c r="A233">
        <v>228</v>
      </c>
      <c r="B233" s="472" t="s">
        <v>1725</v>
      </c>
      <c r="C233" t="s">
        <v>1726</v>
      </c>
      <c r="G233" s="270">
        <v>228</v>
      </c>
      <c r="H233" s="472" t="s">
        <v>1725</v>
      </c>
      <c r="I233" s="270" t="s">
        <v>1726</v>
      </c>
      <c r="J233" s="554">
        <v>0</v>
      </c>
      <c r="K233" s="270">
        <v>0</v>
      </c>
    </row>
    <row r="234" spans="1:11">
      <c r="A234">
        <v>229</v>
      </c>
      <c r="B234" s="472" t="s">
        <v>1727</v>
      </c>
      <c r="C234" t="s">
        <v>1728</v>
      </c>
      <c r="G234" s="270">
        <v>229</v>
      </c>
      <c r="H234" s="472" t="s">
        <v>1727</v>
      </c>
      <c r="I234" s="270" t="s">
        <v>1728</v>
      </c>
      <c r="J234" s="554">
        <v>1168</v>
      </c>
      <c r="K234" s="270">
        <v>1206</v>
      </c>
    </row>
    <row r="235" spans="1:11">
      <c r="A235">
        <v>230</v>
      </c>
      <c r="B235" s="472" t="s">
        <v>1729</v>
      </c>
      <c r="C235" t="s">
        <v>1730</v>
      </c>
      <c r="G235" s="270">
        <v>230</v>
      </c>
      <c r="H235" s="472" t="s">
        <v>1729</v>
      </c>
      <c r="I235" s="270" t="s">
        <v>1730</v>
      </c>
      <c r="J235" s="554">
        <v>23</v>
      </c>
      <c r="K235" s="270">
        <v>25</v>
      </c>
    </row>
    <row r="236" spans="1:11">
      <c r="A236">
        <v>231</v>
      </c>
      <c r="B236" s="472" t="s">
        <v>1731</v>
      </c>
      <c r="C236" t="s">
        <v>1732</v>
      </c>
      <c r="G236" s="270">
        <v>231</v>
      </c>
      <c r="H236" s="472" t="s">
        <v>1731</v>
      </c>
      <c r="I236" s="270" t="s">
        <v>1732</v>
      </c>
      <c r="J236" s="554">
        <v>399</v>
      </c>
      <c r="K236" s="270">
        <v>406</v>
      </c>
    </row>
    <row r="237" spans="1:11">
      <c r="A237">
        <v>232</v>
      </c>
      <c r="B237" s="472" t="s">
        <v>1733</v>
      </c>
      <c r="C237" t="s">
        <v>1734</v>
      </c>
      <c r="G237" s="270">
        <v>232</v>
      </c>
      <c r="H237" s="472" t="s">
        <v>1733</v>
      </c>
      <c r="I237" s="270" t="s">
        <v>1734</v>
      </c>
      <c r="J237" s="554">
        <v>0</v>
      </c>
      <c r="K237" s="270">
        <v>0</v>
      </c>
    </row>
    <row r="238" spans="1:11">
      <c r="A238">
        <v>233</v>
      </c>
      <c r="B238" s="472" t="s">
        <v>1735</v>
      </c>
      <c r="C238" t="s">
        <v>1736</v>
      </c>
      <c r="G238" s="270">
        <v>233</v>
      </c>
      <c r="H238" s="472" t="s">
        <v>1735</v>
      </c>
      <c r="I238" s="270" t="s">
        <v>1736</v>
      </c>
      <c r="J238" s="554">
        <v>0</v>
      </c>
      <c r="K238" s="270">
        <v>0</v>
      </c>
    </row>
    <row r="239" spans="1:11">
      <c r="A239">
        <v>234</v>
      </c>
      <c r="B239" s="472" t="s">
        <v>1737</v>
      </c>
      <c r="C239" t="s">
        <v>1738</v>
      </c>
      <c r="G239" s="270">
        <v>234</v>
      </c>
      <c r="H239" s="472" t="s">
        <v>1737</v>
      </c>
      <c r="I239" s="270" t="s">
        <v>1738</v>
      </c>
      <c r="J239" s="554">
        <v>27</v>
      </c>
      <c r="K239" s="270">
        <v>22</v>
      </c>
    </row>
    <row r="240" spans="1:11">
      <c r="A240">
        <v>235</v>
      </c>
      <c r="B240" s="472" t="s">
        <v>1739</v>
      </c>
      <c r="C240" t="s">
        <v>1740</v>
      </c>
      <c r="G240" s="270">
        <v>235</v>
      </c>
      <c r="H240" s="472" t="s">
        <v>1739</v>
      </c>
      <c r="I240" s="270" t="s">
        <v>1740</v>
      </c>
      <c r="J240" s="554">
        <v>0</v>
      </c>
      <c r="K240" s="270">
        <v>0</v>
      </c>
    </row>
    <row r="241" spans="1:11">
      <c r="A241">
        <v>236</v>
      </c>
      <c r="B241" s="472" t="s">
        <v>1741</v>
      </c>
      <c r="C241" t="s">
        <v>1742</v>
      </c>
      <c r="G241" s="270">
        <v>236</v>
      </c>
      <c r="H241" s="472" t="s">
        <v>1741</v>
      </c>
      <c r="I241" s="270" t="s">
        <v>1742</v>
      </c>
      <c r="J241" s="554">
        <v>1123</v>
      </c>
      <c r="K241" s="270">
        <v>1162</v>
      </c>
    </row>
    <row r="242" spans="1:11">
      <c r="A242">
        <v>237</v>
      </c>
      <c r="B242" s="472" t="s">
        <v>1743</v>
      </c>
      <c r="C242" t="s">
        <v>1744</v>
      </c>
      <c r="G242" s="270">
        <v>237</v>
      </c>
      <c r="H242" s="472" t="s">
        <v>1743</v>
      </c>
      <c r="I242" s="270" t="s">
        <v>1744</v>
      </c>
      <c r="J242" s="554">
        <v>0</v>
      </c>
      <c r="K242" s="270">
        <v>0</v>
      </c>
    </row>
    <row r="243" spans="1:11">
      <c r="A243">
        <v>238</v>
      </c>
      <c r="B243" s="472" t="s">
        <v>1745</v>
      </c>
      <c r="C243" t="s">
        <v>1746</v>
      </c>
      <c r="G243" s="270">
        <v>238</v>
      </c>
      <c r="H243" s="472" t="s">
        <v>1745</v>
      </c>
      <c r="I243" s="270" t="s">
        <v>1746</v>
      </c>
      <c r="J243" s="554">
        <v>122</v>
      </c>
      <c r="K243" s="270">
        <v>139</v>
      </c>
    </row>
    <row r="244" spans="1:11">
      <c r="A244">
        <v>239</v>
      </c>
      <c r="B244" s="472" t="s">
        <v>1747</v>
      </c>
      <c r="C244" t="s">
        <v>1748</v>
      </c>
      <c r="G244" s="270">
        <v>239</v>
      </c>
      <c r="H244" s="472" t="s">
        <v>1747</v>
      </c>
      <c r="I244" s="270" t="s">
        <v>1748</v>
      </c>
      <c r="J244" s="554">
        <v>1429</v>
      </c>
      <c r="K244" s="270">
        <v>1497</v>
      </c>
    </row>
    <row r="245" spans="1:11">
      <c r="A245">
        <v>240</v>
      </c>
      <c r="B245" s="472" t="s">
        <v>1749</v>
      </c>
      <c r="C245" t="s">
        <v>1750</v>
      </c>
      <c r="G245" s="270">
        <v>240</v>
      </c>
      <c r="H245" s="472" t="s">
        <v>1749</v>
      </c>
      <c r="I245" s="270" t="s">
        <v>1750</v>
      </c>
      <c r="J245" s="554">
        <v>37</v>
      </c>
      <c r="K245" s="270">
        <v>34</v>
      </c>
    </row>
    <row r="246" spans="1:11">
      <c r="A246">
        <v>241</v>
      </c>
      <c r="B246" s="472" t="s">
        <v>1751</v>
      </c>
      <c r="C246" t="s">
        <v>1752</v>
      </c>
      <c r="G246" s="270">
        <v>241</v>
      </c>
      <c r="H246" s="472" t="s">
        <v>1751</v>
      </c>
      <c r="I246" s="270" t="s">
        <v>1752</v>
      </c>
      <c r="J246" s="554">
        <v>0</v>
      </c>
      <c r="K246" s="270">
        <v>0</v>
      </c>
    </row>
    <row r="247" spans="1:11">
      <c r="A247">
        <v>242</v>
      </c>
      <c r="B247" s="472" t="s">
        <v>1753</v>
      </c>
      <c r="C247" t="s">
        <v>1754</v>
      </c>
      <c r="G247" s="270">
        <v>242</v>
      </c>
      <c r="H247" s="472" t="s">
        <v>1753</v>
      </c>
      <c r="I247" s="270" t="s">
        <v>1754</v>
      </c>
      <c r="J247" s="554">
        <v>24</v>
      </c>
      <c r="K247" s="270">
        <v>25</v>
      </c>
    </row>
    <row r="248" spans="1:11">
      <c r="A248">
        <v>243</v>
      </c>
      <c r="B248" s="472" t="s">
        <v>1755</v>
      </c>
      <c r="C248" t="s">
        <v>1756</v>
      </c>
      <c r="G248" s="270">
        <v>243</v>
      </c>
      <c r="H248" s="472" t="s">
        <v>1755</v>
      </c>
      <c r="I248" s="270" t="s">
        <v>1756</v>
      </c>
      <c r="J248" s="554">
        <v>1897</v>
      </c>
      <c r="K248" s="270">
        <v>1841</v>
      </c>
    </row>
    <row r="249" spans="1:11">
      <c r="A249">
        <v>244</v>
      </c>
      <c r="B249" s="472" t="s">
        <v>1757</v>
      </c>
      <c r="C249" t="s">
        <v>1758</v>
      </c>
      <c r="G249" s="270">
        <v>244</v>
      </c>
      <c r="H249" s="472" t="s">
        <v>1757</v>
      </c>
      <c r="I249" s="270" t="s">
        <v>1758</v>
      </c>
      <c r="J249" s="554">
        <v>603</v>
      </c>
      <c r="K249" s="270">
        <v>679</v>
      </c>
    </row>
    <row r="250" spans="1:11">
      <c r="A250">
        <v>245</v>
      </c>
      <c r="B250" s="472" t="s">
        <v>1759</v>
      </c>
      <c r="C250" t="s">
        <v>1760</v>
      </c>
      <c r="G250" s="270">
        <v>245</v>
      </c>
      <c r="H250" s="472" t="s">
        <v>1759</v>
      </c>
      <c r="I250" s="270" t="s">
        <v>1760</v>
      </c>
      <c r="J250" s="554">
        <v>0</v>
      </c>
      <c r="K250" s="270">
        <v>0</v>
      </c>
    </row>
    <row r="251" spans="1:11">
      <c r="A251">
        <v>246</v>
      </c>
      <c r="B251" s="472" t="s">
        <v>1761</v>
      </c>
      <c r="C251" t="s">
        <v>1762</v>
      </c>
      <c r="G251" s="270">
        <v>246</v>
      </c>
      <c r="H251" s="472" t="s">
        <v>1761</v>
      </c>
      <c r="I251" s="270" t="s">
        <v>1762</v>
      </c>
      <c r="J251" s="554">
        <v>711</v>
      </c>
      <c r="K251" s="270">
        <v>727</v>
      </c>
    </row>
    <row r="252" spans="1:11">
      <c r="A252">
        <v>247</v>
      </c>
      <c r="B252" s="472" t="s">
        <v>1763</v>
      </c>
      <c r="C252" t="s">
        <v>1764</v>
      </c>
      <c r="G252" s="270">
        <v>247</v>
      </c>
      <c r="H252" s="472" t="s">
        <v>1763</v>
      </c>
      <c r="I252" s="270" t="s">
        <v>1764</v>
      </c>
      <c r="J252" s="554">
        <v>0</v>
      </c>
      <c r="K252" s="270">
        <v>0</v>
      </c>
    </row>
    <row r="253" spans="1:11">
      <c r="A253">
        <v>248</v>
      </c>
      <c r="B253" s="472" t="s">
        <v>1765</v>
      </c>
      <c r="C253" t="s">
        <v>1766</v>
      </c>
      <c r="G253" s="270">
        <v>248</v>
      </c>
      <c r="H253" s="472" t="s">
        <v>1765</v>
      </c>
      <c r="I253" s="270" t="s">
        <v>1766</v>
      </c>
      <c r="J253" s="554">
        <v>1245</v>
      </c>
      <c r="K253" s="270">
        <v>1277</v>
      </c>
    </row>
    <row r="254" spans="1:11">
      <c r="A254">
        <v>249</v>
      </c>
      <c r="B254" s="472" t="s">
        <v>1767</v>
      </c>
      <c r="C254" t="s">
        <v>1768</v>
      </c>
      <c r="G254" s="270">
        <v>249</v>
      </c>
      <c r="H254" s="472" t="s">
        <v>1767</v>
      </c>
      <c r="I254" s="270" t="s">
        <v>1768</v>
      </c>
      <c r="J254" s="554">
        <v>25</v>
      </c>
      <c r="K254" s="270">
        <v>25</v>
      </c>
    </row>
    <row r="255" spans="1:11">
      <c r="A255">
        <v>250</v>
      </c>
      <c r="B255" s="472" t="s">
        <v>1769</v>
      </c>
      <c r="C255" t="s">
        <v>1770</v>
      </c>
      <c r="G255" s="270">
        <v>250</v>
      </c>
      <c r="H255" s="472" t="s">
        <v>1769</v>
      </c>
      <c r="I255" s="270" t="s">
        <v>1770</v>
      </c>
      <c r="J255" s="554">
        <v>92</v>
      </c>
      <c r="K255" s="270">
        <v>93</v>
      </c>
    </row>
    <row r="256" spans="1:11">
      <c r="A256">
        <v>251</v>
      </c>
      <c r="B256" s="472" t="s">
        <v>1771</v>
      </c>
      <c r="C256" t="s">
        <v>1772</v>
      </c>
      <c r="G256" s="270">
        <v>251</v>
      </c>
      <c r="H256" s="472" t="s">
        <v>1771</v>
      </c>
      <c r="I256" s="270" t="s">
        <v>1772</v>
      </c>
      <c r="J256" s="554">
        <v>411</v>
      </c>
      <c r="K256" s="270">
        <v>402</v>
      </c>
    </row>
    <row r="257" spans="1:11">
      <c r="A257">
        <v>252</v>
      </c>
      <c r="B257" s="472" t="s">
        <v>1773</v>
      </c>
      <c r="C257" t="s">
        <v>1774</v>
      </c>
      <c r="G257" s="270">
        <v>252</v>
      </c>
      <c r="H257" s="472" t="s">
        <v>1773</v>
      </c>
      <c r="I257" s="270" t="s">
        <v>1774</v>
      </c>
      <c r="J257" s="554">
        <v>171</v>
      </c>
      <c r="K257" s="270">
        <v>178</v>
      </c>
    </row>
    <row r="258" spans="1:11">
      <c r="A258">
        <v>253</v>
      </c>
      <c r="B258" s="472" t="s">
        <v>1775</v>
      </c>
      <c r="C258" t="s">
        <v>1776</v>
      </c>
      <c r="G258" s="270">
        <v>253</v>
      </c>
      <c r="H258" s="472" t="s">
        <v>1775</v>
      </c>
      <c r="I258" s="270" t="s">
        <v>1776</v>
      </c>
      <c r="J258" s="554">
        <v>21</v>
      </c>
      <c r="K258" s="270">
        <v>22</v>
      </c>
    </row>
    <row r="259" spans="1:11">
      <c r="A259">
        <v>254</v>
      </c>
      <c r="B259" s="472" t="s">
        <v>1777</v>
      </c>
      <c r="C259" t="s">
        <v>1778</v>
      </c>
      <c r="G259" s="270">
        <v>254</v>
      </c>
      <c r="H259" s="472" t="s">
        <v>1777</v>
      </c>
      <c r="I259" s="270" t="s">
        <v>1778</v>
      </c>
      <c r="J259" s="554">
        <v>0</v>
      </c>
      <c r="K259" s="270">
        <v>0</v>
      </c>
    </row>
    <row r="260" spans="1:11">
      <c r="A260">
        <v>255</v>
      </c>
      <c r="B260" s="472" t="s">
        <v>1779</v>
      </c>
      <c r="C260" t="s">
        <v>1780</v>
      </c>
      <c r="G260" s="270">
        <v>255</v>
      </c>
      <c r="H260" s="472" t="s">
        <v>1779</v>
      </c>
      <c r="I260" s="270" t="s">
        <v>1780</v>
      </c>
      <c r="J260" s="554">
        <v>0</v>
      </c>
      <c r="K260" s="270">
        <v>0</v>
      </c>
    </row>
    <row r="261" spans="1:11">
      <c r="A261">
        <v>256</v>
      </c>
      <c r="B261" s="472" t="s">
        <v>1781</v>
      </c>
      <c r="C261" t="s">
        <v>1782</v>
      </c>
      <c r="G261" s="270">
        <v>256</v>
      </c>
      <c r="H261" s="472" t="s">
        <v>1781</v>
      </c>
      <c r="I261" s="270" t="s">
        <v>1782</v>
      </c>
      <c r="J261" s="554">
        <v>0</v>
      </c>
      <c r="K261" s="270">
        <v>0</v>
      </c>
    </row>
    <row r="262" spans="1:11">
      <c r="A262">
        <v>257</v>
      </c>
      <c r="B262" s="472" t="s">
        <v>1783</v>
      </c>
      <c r="C262" t="s">
        <v>1784</v>
      </c>
      <c r="G262" s="270">
        <v>257</v>
      </c>
      <c r="H262" s="472" t="s">
        <v>1783</v>
      </c>
      <c r="I262" s="270" t="s">
        <v>1784</v>
      </c>
      <c r="J262" s="554">
        <v>0</v>
      </c>
      <c r="K262" s="270">
        <v>0</v>
      </c>
    </row>
    <row r="263" spans="1:11">
      <c r="A263">
        <v>258</v>
      </c>
      <c r="B263" s="472" t="s">
        <v>1785</v>
      </c>
      <c r="C263" t="s">
        <v>1786</v>
      </c>
      <c r="G263" s="270">
        <v>258</v>
      </c>
      <c r="H263" s="472" t="s">
        <v>1785</v>
      </c>
      <c r="I263" s="270" t="s">
        <v>1786</v>
      </c>
      <c r="J263" s="554">
        <v>866</v>
      </c>
      <c r="K263" s="270">
        <v>876</v>
      </c>
    </row>
    <row r="264" spans="1:11">
      <c r="A264">
        <v>259</v>
      </c>
      <c r="B264" s="472" t="s">
        <v>1787</v>
      </c>
      <c r="C264" t="s">
        <v>1788</v>
      </c>
      <c r="G264" s="270">
        <v>259</v>
      </c>
      <c r="H264" s="472" t="s">
        <v>1787</v>
      </c>
      <c r="I264" s="270" t="s">
        <v>1788</v>
      </c>
      <c r="J264" s="554">
        <v>0</v>
      </c>
      <c r="K264" s="270">
        <v>0</v>
      </c>
    </row>
    <row r="265" spans="1:11">
      <c r="A265">
        <v>260</v>
      </c>
      <c r="B265" s="472" t="s">
        <v>1789</v>
      </c>
      <c r="C265" t="s">
        <v>1790</v>
      </c>
      <c r="G265" s="270">
        <v>260</v>
      </c>
      <c r="H265" s="472" t="s">
        <v>1789</v>
      </c>
      <c r="I265" s="270" t="s">
        <v>1790</v>
      </c>
      <c r="J265" s="554">
        <v>0</v>
      </c>
      <c r="K265" s="270">
        <v>0</v>
      </c>
    </row>
    <row r="266" spans="1:11">
      <c r="A266">
        <v>261</v>
      </c>
      <c r="B266" s="472" t="s">
        <v>1791</v>
      </c>
      <c r="C266" t="s">
        <v>1792</v>
      </c>
      <c r="G266" s="270">
        <v>261</v>
      </c>
      <c r="H266" s="472" t="s">
        <v>1791</v>
      </c>
      <c r="I266" s="270" t="s">
        <v>1792</v>
      </c>
      <c r="J266" s="554">
        <v>458</v>
      </c>
      <c r="K266" s="270">
        <v>473</v>
      </c>
    </row>
    <row r="267" spans="1:11">
      <c r="A267">
        <v>262</v>
      </c>
      <c r="B267" s="472" t="s">
        <v>1793</v>
      </c>
      <c r="C267" t="s">
        <v>1794</v>
      </c>
      <c r="G267" s="270">
        <v>262</v>
      </c>
      <c r="H267" s="472" t="s">
        <v>1793</v>
      </c>
      <c r="I267" s="270" t="s">
        <v>1794</v>
      </c>
      <c r="J267" s="554">
        <v>433</v>
      </c>
      <c r="K267" s="270">
        <v>480</v>
      </c>
    </row>
    <row r="268" spans="1:11">
      <c r="A268">
        <v>263</v>
      </c>
      <c r="B268" s="472" t="s">
        <v>1795</v>
      </c>
      <c r="C268" t="s">
        <v>1796</v>
      </c>
      <c r="G268" s="270">
        <v>263</v>
      </c>
      <c r="H268" s="472" t="s">
        <v>1795</v>
      </c>
      <c r="I268" s="270" t="s">
        <v>1796</v>
      </c>
      <c r="J268" s="554">
        <v>9</v>
      </c>
      <c r="K268" s="270">
        <v>12</v>
      </c>
    </row>
    <row r="269" spans="1:11">
      <c r="A269">
        <v>264</v>
      </c>
      <c r="B269" s="472" t="s">
        <v>1797</v>
      </c>
      <c r="C269" t="s">
        <v>1798</v>
      </c>
      <c r="G269" s="270">
        <v>264</v>
      </c>
      <c r="H269" s="472" t="s">
        <v>1797</v>
      </c>
      <c r="I269" s="270" t="s">
        <v>1798</v>
      </c>
      <c r="J269" s="554">
        <v>418</v>
      </c>
      <c r="K269" s="270">
        <v>434</v>
      </c>
    </row>
    <row r="270" spans="1:11">
      <c r="A270">
        <v>265</v>
      </c>
      <c r="B270" s="472" t="s">
        <v>1799</v>
      </c>
      <c r="C270" t="s">
        <v>1800</v>
      </c>
      <c r="G270" s="270">
        <v>265</v>
      </c>
      <c r="H270" s="472" t="s">
        <v>1799</v>
      </c>
      <c r="I270" s="270" t="s">
        <v>1800</v>
      </c>
      <c r="J270" s="554">
        <v>349</v>
      </c>
      <c r="K270" s="270">
        <v>374</v>
      </c>
    </row>
    <row r="271" spans="1:11">
      <c r="A271">
        <v>266</v>
      </c>
      <c r="B271" s="472" t="s">
        <v>1801</v>
      </c>
      <c r="C271" t="s">
        <v>1802</v>
      </c>
      <c r="G271" s="270">
        <v>266</v>
      </c>
      <c r="H271" s="472" t="s">
        <v>1801</v>
      </c>
      <c r="I271" s="270" t="s">
        <v>1802</v>
      </c>
      <c r="J271" s="554">
        <v>510</v>
      </c>
      <c r="K271" s="270">
        <v>533</v>
      </c>
    </row>
    <row r="272" spans="1:11">
      <c r="A272">
        <v>267</v>
      </c>
      <c r="B272" s="472" t="s">
        <v>1803</v>
      </c>
      <c r="C272" t="s">
        <v>1804</v>
      </c>
      <c r="G272" s="270">
        <v>267</v>
      </c>
      <c r="H272" s="472" t="s">
        <v>1803</v>
      </c>
      <c r="I272" s="270" t="s">
        <v>1804</v>
      </c>
      <c r="J272" s="554">
        <v>0</v>
      </c>
      <c r="K272" s="270">
        <v>0</v>
      </c>
    </row>
    <row r="273" spans="1:11">
      <c r="A273">
        <v>268</v>
      </c>
      <c r="B273" s="472" t="s">
        <v>1805</v>
      </c>
      <c r="C273" t="s">
        <v>1806</v>
      </c>
      <c r="G273" s="270">
        <v>268</v>
      </c>
      <c r="H273" s="472" t="s">
        <v>1805</v>
      </c>
      <c r="I273" s="270" t="s">
        <v>1806</v>
      </c>
      <c r="J273" s="554">
        <v>0</v>
      </c>
      <c r="K273" s="270">
        <v>0</v>
      </c>
    </row>
    <row r="274" spans="1:11">
      <c r="A274">
        <v>269</v>
      </c>
      <c r="B274" s="472" t="s">
        <v>1807</v>
      </c>
      <c r="C274" t="s">
        <v>1808</v>
      </c>
      <c r="G274" s="270">
        <v>269</v>
      </c>
      <c r="H274" s="472" t="s">
        <v>1807</v>
      </c>
      <c r="I274" s="270" t="s">
        <v>1808</v>
      </c>
      <c r="J274" s="554">
        <v>55</v>
      </c>
      <c r="K274" s="270">
        <v>66</v>
      </c>
    </row>
    <row r="275" spans="1:11">
      <c r="A275">
        <v>270</v>
      </c>
      <c r="B275" s="472" t="s">
        <v>1809</v>
      </c>
      <c r="C275" t="s">
        <v>1810</v>
      </c>
      <c r="G275" s="270">
        <v>270</v>
      </c>
      <c r="H275" s="472" t="s">
        <v>1809</v>
      </c>
      <c r="I275" s="270" t="s">
        <v>1810</v>
      </c>
      <c r="J275" s="554">
        <v>0</v>
      </c>
      <c r="K275" s="270">
        <v>0</v>
      </c>
    </row>
    <row r="276" spans="1:11">
      <c r="A276">
        <v>271</v>
      </c>
      <c r="B276" s="472" t="s">
        <v>1811</v>
      </c>
      <c r="C276" t="s">
        <v>1812</v>
      </c>
      <c r="G276" s="270">
        <v>271</v>
      </c>
      <c r="H276" s="472" t="s">
        <v>1811</v>
      </c>
      <c r="I276" s="270" t="s">
        <v>1812</v>
      </c>
      <c r="J276" s="554">
        <v>864</v>
      </c>
      <c r="K276" s="270">
        <v>939</v>
      </c>
    </row>
    <row r="277" spans="1:11">
      <c r="A277">
        <v>272</v>
      </c>
      <c r="B277" s="472" t="s">
        <v>1813</v>
      </c>
      <c r="C277" t="s">
        <v>1814</v>
      </c>
      <c r="G277" s="270">
        <v>272</v>
      </c>
      <c r="H277" s="472" t="s">
        <v>1813</v>
      </c>
      <c r="I277" s="270" t="s">
        <v>1814</v>
      </c>
      <c r="J277" s="554">
        <v>18</v>
      </c>
      <c r="K277" s="270">
        <v>19</v>
      </c>
    </row>
    <row r="278" spans="1:11">
      <c r="A278">
        <v>273</v>
      </c>
      <c r="B278" s="472" t="s">
        <v>1815</v>
      </c>
      <c r="C278" t="s">
        <v>1816</v>
      </c>
      <c r="G278" s="270">
        <v>273</v>
      </c>
      <c r="H278" s="472" t="s">
        <v>1815</v>
      </c>
      <c r="I278" s="270" t="s">
        <v>1816</v>
      </c>
      <c r="J278" s="554">
        <v>302</v>
      </c>
      <c r="K278" s="270">
        <v>327</v>
      </c>
    </row>
    <row r="279" spans="1:11">
      <c r="A279">
        <v>274</v>
      </c>
      <c r="B279" s="472" t="s">
        <v>1817</v>
      </c>
      <c r="C279" t="s">
        <v>1818</v>
      </c>
      <c r="G279" s="270">
        <v>274</v>
      </c>
      <c r="H279" s="472" t="s">
        <v>1817</v>
      </c>
      <c r="I279" s="270" t="s">
        <v>1818</v>
      </c>
      <c r="J279" s="554">
        <v>925</v>
      </c>
      <c r="K279" s="270">
        <v>1007</v>
      </c>
    </row>
    <row r="280" spans="1:11">
      <c r="A280">
        <v>275</v>
      </c>
      <c r="B280" s="472" t="s">
        <v>1819</v>
      </c>
      <c r="C280" t="s">
        <v>1820</v>
      </c>
      <c r="G280" s="270">
        <v>275</v>
      </c>
      <c r="H280" s="472" t="s">
        <v>1819</v>
      </c>
      <c r="I280" s="270" t="s">
        <v>1820</v>
      </c>
      <c r="J280" s="554">
        <v>99</v>
      </c>
      <c r="K280" s="270">
        <v>92</v>
      </c>
    </row>
    <row r="281" spans="1:11">
      <c r="A281">
        <v>276</v>
      </c>
      <c r="B281" s="472" t="s">
        <v>1821</v>
      </c>
      <c r="C281" t="s">
        <v>1822</v>
      </c>
      <c r="G281" s="270">
        <v>276</v>
      </c>
      <c r="H281" s="472" t="s">
        <v>1821</v>
      </c>
      <c r="I281" s="270" t="s">
        <v>1822</v>
      </c>
      <c r="J281" s="554">
        <v>186</v>
      </c>
      <c r="K281" s="270">
        <v>199</v>
      </c>
    </row>
    <row r="282" spans="1:11">
      <c r="A282">
        <v>277</v>
      </c>
      <c r="B282" s="472" t="s">
        <v>1823</v>
      </c>
      <c r="C282" t="s">
        <v>1824</v>
      </c>
      <c r="G282" s="270">
        <v>277</v>
      </c>
      <c r="H282" s="472" t="s">
        <v>1823</v>
      </c>
      <c r="I282" s="270" t="s">
        <v>1824</v>
      </c>
      <c r="J282" s="554">
        <v>407</v>
      </c>
      <c r="K282" s="270">
        <v>397</v>
      </c>
    </row>
    <row r="283" spans="1:11">
      <c r="A283">
        <v>278</v>
      </c>
      <c r="B283" s="472" t="s">
        <v>1825</v>
      </c>
      <c r="C283" t="s">
        <v>1826</v>
      </c>
      <c r="G283" s="270">
        <v>278</v>
      </c>
      <c r="H283" s="472" t="s">
        <v>1825</v>
      </c>
      <c r="I283" s="270" t="s">
        <v>1826</v>
      </c>
      <c r="J283" s="554">
        <v>368</v>
      </c>
      <c r="K283" s="270">
        <v>338</v>
      </c>
    </row>
    <row r="284" spans="1:11">
      <c r="A284">
        <v>279</v>
      </c>
      <c r="B284" s="472" t="s">
        <v>1827</v>
      </c>
      <c r="C284" t="s">
        <v>1828</v>
      </c>
      <c r="G284" s="270">
        <v>279</v>
      </c>
      <c r="H284" s="472" t="s">
        <v>1827</v>
      </c>
      <c r="I284" s="270" t="s">
        <v>1828</v>
      </c>
      <c r="J284" s="554">
        <v>0</v>
      </c>
      <c r="K284" s="270">
        <v>0</v>
      </c>
    </row>
    <row r="285" spans="1:11">
      <c r="A285">
        <v>280</v>
      </c>
      <c r="B285" s="472" t="s">
        <v>1829</v>
      </c>
      <c r="C285" t="s">
        <v>1830</v>
      </c>
      <c r="G285" s="270">
        <v>280</v>
      </c>
      <c r="H285" s="472" t="s">
        <v>1829</v>
      </c>
      <c r="I285" s="270" t="s">
        <v>1830</v>
      </c>
      <c r="J285" s="554">
        <v>0</v>
      </c>
      <c r="K285" s="270">
        <v>0</v>
      </c>
    </row>
    <row r="286" spans="1:11">
      <c r="A286">
        <v>281</v>
      </c>
      <c r="B286" s="472" t="s">
        <v>1831</v>
      </c>
      <c r="C286" t="s">
        <v>1832</v>
      </c>
      <c r="G286" s="270">
        <v>281</v>
      </c>
      <c r="H286" s="472" t="s">
        <v>1831</v>
      </c>
      <c r="I286" s="270" t="s">
        <v>1832</v>
      </c>
      <c r="J286" s="554">
        <v>6031</v>
      </c>
      <c r="K286" s="270">
        <v>6157</v>
      </c>
    </row>
    <row r="287" spans="1:11">
      <c r="A287">
        <v>282</v>
      </c>
      <c r="B287" s="472" t="s">
        <v>1833</v>
      </c>
      <c r="C287" t="s">
        <v>1834</v>
      </c>
      <c r="G287" s="270">
        <v>282</v>
      </c>
      <c r="H287" s="472" t="s">
        <v>1833</v>
      </c>
      <c r="I287" s="270" t="s">
        <v>1834</v>
      </c>
      <c r="J287" s="554">
        <v>0</v>
      </c>
      <c r="K287" s="270">
        <v>0</v>
      </c>
    </row>
    <row r="288" spans="1:11">
      <c r="A288">
        <v>283</v>
      </c>
      <c r="B288" s="472" t="s">
        <v>1835</v>
      </c>
      <c r="C288" t="s">
        <v>1836</v>
      </c>
      <c r="G288" s="270">
        <v>283</v>
      </c>
      <c r="H288" s="472" t="s">
        <v>1835</v>
      </c>
      <c r="I288" s="270" t="s">
        <v>1836</v>
      </c>
      <c r="J288" s="554">
        <v>0</v>
      </c>
      <c r="K288" s="270">
        <v>0</v>
      </c>
    </row>
    <row r="289" spans="1:11">
      <c r="A289">
        <v>284</v>
      </c>
      <c r="B289" s="472" t="s">
        <v>1837</v>
      </c>
      <c r="C289" t="s">
        <v>1838</v>
      </c>
      <c r="G289" s="270">
        <v>284</v>
      </c>
      <c r="H289" s="472" t="s">
        <v>1837</v>
      </c>
      <c r="I289" s="270" t="s">
        <v>1838</v>
      </c>
      <c r="J289" s="554">
        <v>464</v>
      </c>
      <c r="K289" s="270">
        <v>488</v>
      </c>
    </row>
    <row r="290" spans="1:11">
      <c r="A290">
        <v>285</v>
      </c>
      <c r="B290" s="472" t="s">
        <v>1839</v>
      </c>
      <c r="C290" t="s">
        <v>1840</v>
      </c>
      <c r="G290" s="270">
        <v>285</v>
      </c>
      <c r="H290" s="472" t="s">
        <v>1839</v>
      </c>
      <c r="I290" s="270" t="s">
        <v>1840</v>
      </c>
      <c r="J290" s="554">
        <v>583</v>
      </c>
      <c r="K290" s="270">
        <v>611</v>
      </c>
    </row>
    <row r="291" spans="1:11">
      <c r="A291">
        <v>286</v>
      </c>
      <c r="B291" s="472" t="s">
        <v>1841</v>
      </c>
      <c r="C291" t="s">
        <v>1842</v>
      </c>
      <c r="G291" s="270">
        <v>286</v>
      </c>
      <c r="H291" s="472" t="s">
        <v>1841</v>
      </c>
      <c r="I291" s="270" t="s">
        <v>1842</v>
      </c>
      <c r="J291" s="554">
        <v>0</v>
      </c>
      <c r="K291" s="270">
        <v>0</v>
      </c>
    </row>
    <row r="292" spans="1:11">
      <c r="A292">
        <v>287</v>
      </c>
      <c r="B292" s="472" t="s">
        <v>1843</v>
      </c>
      <c r="C292" t="s">
        <v>1844</v>
      </c>
      <c r="G292" s="270">
        <v>287</v>
      </c>
      <c r="H292" s="472" t="s">
        <v>1843</v>
      </c>
      <c r="I292" s="270" t="s">
        <v>1844</v>
      </c>
      <c r="J292" s="554">
        <v>113</v>
      </c>
      <c r="K292" s="270">
        <v>119</v>
      </c>
    </row>
    <row r="293" spans="1:11">
      <c r="A293">
        <v>288</v>
      </c>
      <c r="B293" s="472" t="s">
        <v>1845</v>
      </c>
      <c r="C293" t="s">
        <v>1846</v>
      </c>
      <c r="G293" s="270">
        <v>288</v>
      </c>
      <c r="H293" s="472" t="s">
        <v>1845</v>
      </c>
      <c r="I293" s="270" t="s">
        <v>1846</v>
      </c>
      <c r="J293" s="554">
        <v>448</v>
      </c>
      <c r="K293" s="270">
        <v>495</v>
      </c>
    </row>
    <row r="294" spans="1:11">
      <c r="A294">
        <v>289</v>
      </c>
      <c r="B294" s="472" t="s">
        <v>1847</v>
      </c>
      <c r="C294" t="s">
        <v>1848</v>
      </c>
      <c r="G294" s="270">
        <v>289</v>
      </c>
      <c r="H294" s="472" t="s">
        <v>1847</v>
      </c>
      <c r="I294" s="270" t="s">
        <v>1848</v>
      </c>
      <c r="J294" s="554">
        <v>39</v>
      </c>
      <c r="K294" s="270">
        <v>45</v>
      </c>
    </row>
    <row r="295" spans="1:11">
      <c r="A295">
        <v>290</v>
      </c>
      <c r="B295" s="472" t="s">
        <v>1849</v>
      </c>
      <c r="C295" t="s">
        <v>1850</v>
      </c>
      <c r="G295" s="270">
        <v>290</v>
      </c>
      <c r="H295" s="472" t="s">
        <v>1849</v>
      </c>
      <c r="I295" s="270" t="s">
        <v>1850</v>
      </c>
      <c r="J295" s="554">
        <v>234</v>
      </c>
      <c r="K295" s="270">
        <v>249</v>
      </c>
    </row>
    <row r="296" spans="1:11">
      <c r="A296">
        <v>291</v>
      </c>
      <c r="B296" s="472" t="s">
        <v>1851</v>
      </c>
      <c r="C296" t="s">
        <v>1852</v>
      </c>
      <c r="G296" s="270">
        <v>291</v>
      </c>
      <c r="H296" s="472" t="s">
        <v>1851</v>
      </c>
      <c r="I296" s="270" t="s">
        <v>1852</v>
      </c>
      <c r="J296" s="554">
        <v>379</v>
      </c>
      <c r="K296" s="270">
        <v>403</v>
      </c>
    </row>
    <row r="297" spans="1:11">
      <c r="A297">
        <v>292</v>
      </c>
      <c r="B297" s="472" t="s">
        <v>1853</v>
      </c>
      <c r="C297" t="s">
        <v>1854</v>
      </c>
      <c r="G297" s="270">
        <v>292</v>
      </c>
      <c r="H297" s="472" t="s">
        <v>1853</v>
      </c>
      <c r="I297" s="270" t="s">
        <v>1854</v>
      </c>
      <c r="J297" s="554">
        <v>259</v>
      </c>
      <c r="K297" s="270">
        <v>275</v>
      </c>
    </row>
    <row r="298" spans="1:11">
      <c r="A298">
        <v>293</v>
      </c>
      <c r="B298" s="472" t="s">
        <v>1855</v>
      </c>
      <c r="C298" t="s">
        <v>1856</v>
      </c>
      <c r="G298" s="270">
        <v>293</v>
      </c>
      <c r="H298" s="472" t="s">
        <v>1855</v>
      </c>
      <c r="I298" s="270" t="s">
        <v>1856</v>
      </c>
      <c r="J298" s="554">
        <v>1561</v>
      </c>
      <c r="K298" s="270">
        <v>1603</v>
      </c>
    </row>
    <row r="299" spans="1:11">
      <c r="A299">
        <v>294</v>
      </c>
      <c r="B299" s="472" t="s">
        <v>1857</v>
      </c>
      <c r="C299" t="s">
        <v>1858</v>
      </c>
      <c r="G299" s="270">
        <v>294</v>
      </c>
      <c r="H299" s="472" t="s">
        <v>1857</v>
      </c>
      <c r="I299" s="270" t="s">
        <v>1858</v>
      </c>
      <c r="J299" s="554">
        <v>0</v>
      </c>
      <c r="K299" s="270">
        <v>0</v>
      </c>
    </row>
    <row r="300" spans="1:11">
      <c r="A300">
        <v>295</v>
      </c>
      <c r="B300" s="472" t="s">
        <v>1859</v>
      </c>
      <c r="C300" t="s">
        <v>1860</v>
      </c>
      <c r="G300" s="270">
        <v>295</v>
      </c>
      <c r="H300" s="472" t="s">
        <v>1859</v>
      </c>
      <c r="I300" s="270" t="s">
        <v>1860</v>
      </c>
      <c r="J300" s="554">
        <v>587</v>
      </c>
      <c r="K300" s="270">
        <v>635</v>
      </c>
    </row>
    <row r="301" spans="1:11">
      <c r="A301">
        <v>296</v>
      </c>
      <c r="B301" s="472" t="s">
        <v>1861</v>
      </c>
      <c r="C301" t="s">
        <v>1862</v>
      </c>
      <c r="G301" s="270">
        <v>296</v>
      </c>
      <c r="H301" s="472" t="s">
        <v>1861</v>
      </c>
      <c r="I301" s="270" t="s">
        <v>1862</v>
      </c>
      <c r="J301" s="554">
        <v>50</v>
      </c>
      <c r="K301" s="270">
        <v>45</v>
      </c>
    </row>
    <row r="302" spans="1:11">
      <c r="A302">
        <v>297</v>
      </c>
      <c r="B302" s="472" t="s">
        <v>1863</v>
      </c>
      <c r="C302" t="s">
        <v>1864</v>
      </c>
      <c r="G302" s="270">
        <v>297</v>
      </c>
      <c r="H302" s="472" t="s">
        <v>1863</v>
      </c>
      <c r="I302" s="270" t="s">
        <v>1864</v>
      </c>
      <c r="J302" s="554">
        <v>0</v>
      </c>
      <c r="K302" s="270">
        <v>0</v>
      </c>
    </row>
    <row r="303" spans="1:11">
      <c r="A303">
        <v>298</v>
      </c>
      <c r="B303" s="472" t="s">
        <v>1865</v>
      </c>
      <c r="C303" t="s">
        <v>1866</v>
      </c>
      <c r="G303" s="270">
        <v>298</v>
      </c>
      <c r="H303" s="472" t="s">
        <v>1865</v>
      </c>
      <c r="I303" s="270" t="s">
        <v>1866</v>
      </c>
      <c r="J303" s="554">
        <v>103</v>
      </c>
      <c r="K303" s="270">
        <v>111</v>
      </c>
    </row>
    <row r="304" spans="1:11">
      <c r="A304">
        <v>299</v>
      </c>
      <c r="B304" s="472" t="s">
        <v>1867</v>
      </c>
      <c r="C304" t="s">
        <v>1868</v>
      </c>
      <c r="G304" s="270">
        <v>299</v>
      </c>
      <c r="H304" s="472" t="s">
        <v>1867</v>
      </c>
      <c r="I304" s="270" t="s">
        <v>1868</v>
      </c>
      <c r="J304" s="554">
        <v>0</v>
      </c>
      <c r="K304" s="270">
        <v>0</v>
      </c>
    </row>
    <row r="305" spans="1:11">
      <c r="A305">
        <v>300</v>
      </c>
      <c r="B305" s="472" t="s">
        <v>1869</v>
      </c>
      <c r="C305" t="s">
        <v>1870</v>
      </c>
      <c r="G305" s="270">
        <v>300</v>
      </c>
      <c r="H305" s="472" t="s">
        <v>1869</v>
      </c>
      <c r="I305" s="270" t="s">
        <v>1870</v>
      </c>
      <c r="J305" s="554">
        <v>20</v>
      </c>
      <c r="K305" s="270">
        <v>21</v>
      </c>
    </row>
    <row r="306" spans="1:11">
      <c r="A306">
        <v>301</v>
      </c>
      <c r="B306" s="472" t="s">
        <v>1871</v>
      </c>
      <c r="C306" t="s">
        <v>1872</v>
      </c>
      <c r="G306" s="270">
        <v>301</v>
      </c>
      <c r="H306" s="472" t="s">
        <v>1871</v>
      </c>
      <c r="I306" s="270" t="s">
        <v>1872</v>
      </c>
      <c r="J306" s="554">
        <v>284</v>
      </c>
      <c r="K306" s="270">
        <v>280</v>
      </c>
    </row>
    <row r="307" spans="1:11">
      <c r="A307">
        <v>302</v>
      </c>
      <c r="B307" s="472" t="s">
        <v>1873</v>
      </c>
      <c r="C307" t="s">
        <v>1874</v>
      </c>
      <c r="G307" s="270">
        <v>302</v>
      </c>
      <c r="H307" s="472" t="s">
        <v>1873</v>
      </c>
      <c r="I307" s="270" t="s">
        <v>1874</v>
      </c>
      <c r="J307" s="554">
        <v>0</v>
      </c>
      <c r="K307" s="270">
        <v>0</v>
      </c>
    </row>
    <row r="308" spans="1:11">
      <c r="A308">
        <v>303</v>
      </c>
      <c r="B308" s="472" t="s">
        <v>1875</v>
      </c>
      <c r="C308" t="s">
        <v>1876</v>
      </c>
      <c r="G308" s="270">
        <v>303</v>
      </c>
      <c r="H308" s="472" t="s">
        <v>1875</v>
      </c>
      <c r="I308" s="270" t="s">
        <v>1876</v>
      </c>
      <c r="J308" s="554">
        <v>0</v>
      </c>
      <c r="K308" s="270">
        <v>0</v>
      </c>
    </row>
    <row r="309" spans="1:11">
      <c r="A309">
        <v>304</v>
      </c>
      <c r="B309" s="472" t="s">
        <v>1877</v>
      </c>
      <c r="C309" t="s">
        <v>1878</v>
      </c>
      <c r="G309" s="270">
        <v>304</v>
      </c>
      <c r="H309" s="472" t="s">
        <v>1877</v>
      </c>
      <c r="I309" s="270" t="s">
        <v>1878</v>
      </c>
      <c r="J309" s="554">
        <v>291</v>
      </c>
      <c r="K309" s="270">
        <v>301</v>
      </c>
    </row>
    <row r="310" spans="1:11">
      <c r="A310">
        <v>305</v>
      </c>
      <c r="B310" s="472" t="s">
        <v>1264</v>
      </c>
      <c r="C310" t="s">
        <v>1879</v>
      </c>
      <c r="G310" s="270">
        <v>305</v>
      </c>
      <c r="H310" s="472" t="s">
        <v>1264</v>
      </c>
      <c r="I310" s="270" t="s">
        <v>1879</v>
      </c>
      <c r="J310" s="554">
        <v>549</v>
      </c>
      <c r="K310" s="270">
        <v>558</v>
      </c>
    </row>
    <row r="311" spans="1:11">
      <c r="A311">
        <v>306</v>
      </c>
      <c r="B311" s="472" t="s">
        <v>1880</v>
      </c>
      <c r="C311" t="s">
        <v>1881</v>
      </c>
      <c r="G311" s="270">
        <v>306</v>
      </c>
      <c r="H311" s="472" t="s">
        <v>1880</v>
      </c>
      <c r="I311" s="270" t="s">
        <v>1881</v>
      </c>
      <c r="J311" s="554">
        <v>30</v>
      </c>
      <c r="K311" s="270">
        <v>33</v>
      </c>
    </row>
    <row r="312" spans="1:11">
      <c r="A312">
        <v>307</v>
      </c>
      <c r="B312" s="472" t="s">
        <v>1882</v>
      </c>
      <c r="C312" t="s">
        <v>1883</v>
      </c>
      <c r="G312" s="270">
        <v>307</v>
      </c>
      <c r="H312" s="472" t="s">
        <v>1882</v>
      </c>
      <c r="I312" s="270" t="s">
        <v>1883</v>
      </c>
      <c r="J312" s="554">
        <v>518</v>
      </c>
      <c r="K312" s="270">
        <v>543</v>
      </c>
    </row>
    <row r="313" spans="1:11">
      <c r="A313">
        <v>308</v>
      </c>
      <c r="B313" s="472" t="s">
        <v>1884</v>
      </c>
      <c r="C313" t="s">
        <v>1885</v>
      </c>
      <c r="G313" s="270">
        <v>308</v>
      </c>
      <c r="H313" s="472" t="s">
        <v>1884</v>
      </c>
      <c r="I313" s="270" t="s">
        <v>1885</v>
      </c>
      <c r="J313" s="554">
        <v>904</v>
      </c>
      <c r="K313" s="270">
        <v>883</v>
      </c>
    </row>
    <row r="314" spans="1:11">
      <c r="A314">
        <v>309</v>
      </c>
      <c r="B314" s="472" t="s">
        <v>1886</v>
      </c>
      <c r="C314" t="s">
        <v>1887</v>
      </c>
      <c r="G314" s="270">
        <v>309</v>
      </c>
      <c r="H314" s="472" t="s">
        <v>1886</v>
      </c>
      <c r="I314" s="270" t="s">
        <v>1887</v>
      </c>
      <c r="J314" s="554">
        <v>255</v>
      </c>
      <c r="K314" s="270">
        <v>250</v>
      </c>
    </row>
    <row r="315" spans="1:11">
      <c r="A315">
        <v>310</v>
      </c>
      <c r="B315" s="472" t="s">
        <v>1888</v>
      </c>
      <c r="C315" t="s">
        <v>1889</v>
      </c>
      <c r="G315" s="270">
        <v>310</v>
      </c>
      <c r="H315" s="472" t="s">
        <v>1888</v>
      </c>
      <c r="I315" s="270" t="s">
        <v>1889</v>
      </c>
      <c r="J315" s="554">
        <v>506</v>
      </c>
      <c r="K315" s="270">
        <v>579</v>
      </c>
    </row>
    <row r="316" spans="1:11">
      <c r="A316">
        <v>311</v>
      </c>
      <c r="B316" s="472" t="s">
        <v>1890</v>
      </c>
      <c r="C316" t="s">
        <v>1891</v>
      </c>
      <c r="G316" s="270">
        <v>311</v>
      </c>
      <c r="H316" s="472" t="s">
        <v>1890</v>
      </c>
      <c r="I316" s="270" t="s">
        <v>1891</v>
      </c>
      <c r="J316" s="554">
        <v>0</v>
      </c>
      <c r="K316" s="270">
        <v>0</v>
      </c>
    </row>
    <row r="317" spans="1:11">
      <c r="A317">
        <v>312</v>
      </c>
      <c r="B317" s="472" t="s">
        <v>1892</v>
      </c>
      <c r="C317" t="s">
        <v>1893</v>
      </c>
      <c r="G317" s="270">
        <v>312</v>
      </c>
      <c r="H317" s="472" t="s">
        <v>1892</v>
      </c>
      <c r="I317" s="270" t="s">
        <v>1893</v>
      </c>
      <c r="J317" s="554">
        <v>0</v>
      </c>
      <c r="K317" s="270">
        <v>0</v>
      </c>
    </row>
    <row r="318" spans="1:11">
      <c r="A318">
        <v>313</v>
      </c>
      <c r="B318" s="472" t="s">
        <v>1894</v>
      </c>
      <c r="C318" t="s">
        <v>1895</v>
      </c>
      <c r="G318" s="270">
        <v>313</v>
      </c>
      <c r="H318" s="472" t="s">
        <v>1894</v>
      </c>
      <c r="I318" s="270" t="s">
        <v>1895</v>
      </c>
      <c r="J318" s="554">
        <v>0</v>
      </c>
      <c r="K318" s="270">
        <v>0</v>
      </c>
    </row>
    <row r="319" spans="1:11">
      <c r="A319">
        <v>314</v>
      </c>
      <c r="B319" s="472" t="s">
        <v>1896</v>
      </c>
      <c r="C319" t="s">
        <v>1897</v>
      </c>
      <c r="G319" s="270">
        <v>314</v>
      </c>
      <c r="H319" s="472" t="s">
        <v>1896</v>
      </c>
      <c r="I319" s="270" t="s">
        <v>1897</v>
      </c>
      <c r="J319" s="554">
        <v>509</v>
      </c>
      <c r="K319" s="270">
        <v>519</v>
      </c>
    </row>
    <row r="320" spans="1:11">
      <c r="A320">
        <v>315</v>
      </c>
      <c r="B320" s="472" t="s">
        <v>1898</v>
      </c>
      <c r="C320" t="s">
        <v>1899</v>
      </c>
      <c r="G320" s="270">
        <v>315</v>
      </c>
      <c r="H320" s="472" t="s">
        <v>1898</v>
      </c>
      <c r="I320" s="270" t="s">
        <v>1899</v>
      </c>
      <c r="J320" s="554">
        <v>491</v>
      </c>
      <c r="K320" s="270">
        <v>503</v>
      </c>
    </row>
    <row r="321" spans="1:11">
      <c r="A321">
        <v>316</v>
      </c>
      <c r="B321" s="472" t="s">
        <v>1900</v>
      </c>
      <c r="C321" t="s">
        <v>1901</v>
      </c>
      <c r="G321" s="270">
        <v>316</v>
      </c>
      <c r="H321" s="472" t="s">
        <v>1900</v>
      </c>
      <c r="I321" s="270" t="s">
        <v>1901</v>
      </c>
      <c r="J321" s="554">
        <v>391</v>
      </c>
      <c r="K321" s="270">
        <v>415</v>
      </c>
    </row>
    <row r="322" spans="1:11">
      <c r="A322">
        <v>317</v>
      </c>
      <c r="B322" s="472" t="s">
        <v>1902</v>
      </c>
      <c r="C322" t="s">
        <v>1903</v>
      </c>
      <c r="G322" s="270">
        <v>317</v>
      </c>
      <c r="H322" s="472" t="s">
        <v>1902</v>
      </c>
      <c r="I322" s="270" t="s">
        <v>1903</v>
      </c>
      <c r="J322" s="554">
        <v>768</v>
      </c>
      <c r="K322" s="270">
        <v>818</v>
      </c>
    </row>
    <row r="323" spans="1:11">
      <c r="A323">
        <v>318</v>
      </c>
      <c r="B323" s="472" t="s">
        <v>1904</v>
      </c>
      <c r="C323" t="s">
        <v>1905</v>
      </c>
      <c r="G323" s="270">
        <v>318</v>
      </c>
      <c r="H323" s="472" t="s">
        <v>1904</v>
      </c>
      <c r="I323" s="270" t="s">
        <v>1905</v>
      </c>
      <c r="J323" s="554">
        <v>17</v>
      </c>
      <c r="K323" s="270">
        <v>21</v>
      </c>
    </row>
    <row r="324" spans="1:11">
      <c r="A324">
        <v>319</v>
      </c>
      <c r="B324" s="472" t="s">
        <v>1906</v>
      </c>
      <c r="C324" t="s">
        <v>1907</v>
      </c>
      <c r="G324" s="270">
        <v>319</v>
      </c>
      <c r="H324" s="472" t="s">
        <v>1906</v>
      </c>
      <c r="I324" s="270" t="s">
        <v>1907</v>
      </c>
      <c r="J324" s="554">
        <v>0</v>
      </c>
      <c r="K324" s="270">
        <v>0</v>
      </c>
    </row>
    <row r="325" spans="1:11">
      <c r="A325">
        <v>320</v>
      </c>
      <c r="B325" s="472" t="s">
        <v>1908</v>
      </c>
      <c r="C325" t="s">
        <v>1909</v>
      </c>
      <c r="G325" s="270">
        <v>320</v>
      </c>
      <c r="H325" s="472" t="s">
        <v>1908</v>
      </c>
      <c r="I325" s="270" t="s">
        <v>1909</v>
      </c>
      <c r="J325" s="554">
        <v>0</v>
      </c>
      <c r="K325" s="270">
        <v>0</v>
      </c>
    </row>
    <row r="326" spans="1:11">
      <c r="A326">
        <v>321</v>
      </c>
      <c r="B326" s="472" t="s">
        <v>1910</v>
      </c>
      <c r="C326" t="s">
        <v>1911</v>
      </c>
      <c r="G326" s="270">
        <v>321</v>
      </c>
      <c r="H326" s="472" t="s">
        <v>1910</v>
      </c>
      <c r="I326" s="270" t="s">
        <v>1911</v>
      </c>
      <c r="J326" s="554">
        <v>614</v>
      </c>
      <c r="K326" s="270">
        <v>630</v>
      </c>
    </row>
    <row r="327" spans="1:11">
      <c r="A327">
        <v>322</v>
      </c>
      <c r="B327" s="472" t="s">
        <v>1912</v>
      </c>
      <c r="C327" t="s">
        <v>1913</v>
      </c>
      <c r="G327" s="270">
        <v>322</v>
      </c>
      <c r="H327" s="472" t="s">
        <v>1912</v>
      </c>
      <c r="I327" s="270" t="s">
        <v>1913</v>
      </c>
      <c r="J327" s="554">
        <v>160</v>
      </c>
      <c r="K327" s="270">
        <v>166</v>
      </c>
    </row>
    <row r="328" spans="1:11">
      <c r="A328">
        <v>323</v>
      </c>
      <c r="B328" s="472" t="s">
        <v>1914</v>
      </c>
      <c r="C328" t="s">
        <v>1915</v>
      </c>
      <c r="G328" s="270">
        <v>323</v>
      </c>
      <c r="H328" s="472" t="s">
        <v>1914</v>
      </c>
      <c r="I328" s="270" t="s">
        <v>1915</v>
      </c>
      <c r="J328" s="554">
        <v>147</v>
      </c>
      <c r="K328" s="270">
        <v>149</v>
      </c>
    </row>
    <row r="329" spans="1:11">
      <c r="A329">
        <v>324</v>
      </c>
      <c r="B329" s="472" t="s">
        <v>1916</v>
      </c>
      <c r="C329" t="s">
        <v>1917</v>
      </c>
      <c r="G329" s="270">
        <v>324</v>
      </c>
      <c r="H329" s="472" t="s">
        <v>1916</v>
      </c>
      <c r="I329" s="270" t="s">
        <v>1917</v>
      </c>
      <c r="J329" s="554">
        <v>0</v>
      </c>
      <c r="K329" s="270">
        <v>0</v>
      </c>
    </row>
    <row r="330" spans="1:11">
      <c r="A330">
        <v>325</v>
      </c>
      <c r="B330" s="472" t="s">
        <v>1918</v>
      </c>
      <c r="C330" t="s">
        <v>1919</v>
      </c>
      <c r="G330" s="270">
        <v>325</v>
      </c>
      <c r="H330" s="472" t="s">
        <v>1918</v>
      </c>
      <c r="I330" s="270" t="s">
        <v>1919</v>
      </c>
      <c r="J330" s="554">
        <v>1018</v>
      </c>
      <c r="K330" s="270">
        <v>1069</v>
      </c>
    </row>
    <row r="331" spans="1:11">
      <c r="A331">
        <v>326</v>
      </c>
      <c r="B331" s="472" t="s">
        <v>1920</v>
      </c>
      <c r="C331" t="s">
        <v>1921</v>
      </c>
      <c r="G331" s="270">
        <v>326</v>
      </c>
      <c r="H331" s="472" t="s">
        <v>1920</v>
      </c>
      <c r="I331" s="270" t="s">
        <v>1921</v>
      </c>
      <c r="J331" s="554">
        <v>740</v>
      </c>
      <c r="K331" s="270">
        <v>754</v>
      </c>
    </row>
    <row r="332" spans="1:11">
      <c r="A332">
        <v>327</v>
      </c>
      <c r="B332" s="472" t="s">
        <v>1922</v>
      </c>
      <c r="C332" t="s">
        <v>1923</v>
      </c>
      <c r="G332" s="270">
        <v>327</v>
      </c>
      <c r="H332" s="472" t="s">
        <v>1922</v>
      </c>
      <c r="I332" s="270" t="s">
        <v>1923</v>
      </c>
      <c r="J332" s="554">
        <v>24</v>
      </c>
      <c r="K332" s="270">
        <v>27</v>
      </c>
    </row>
    <row r="333" spans="1:11">
      <c r="A333">
        <v>328</v>
      </c>
      <c r="B333" s="472" t="s">
        <v>1924</v>
      </c>
      <c r="C333" t="s">
        <v>1925</v>
      </c>
      <c r="G333" s="270">
        <v>328</v>
      </c>
      <c r="H333" s="472" t="s">
        <v>1924</v>
      </c>
      <c r="I333" s="270" t="s">
        <v>1925</v>
      </c>
      <c r="J333" s="554">
        <v>0</v>
      </c>
      <c r="K333" s="270">
        <v>0</v>
      </c>
    </row>
    <row r="334" spans="1:11">
      <c r="A334">
        <v>329</v>
      </c>
      <c r="B334" s="472" t="s">
        <v>1926</v>
      </c>
      <c r="C334" t="s">
        <v>1927</v>
      </c>
      <c r="G334" s="270">
        <v>329</v>
      </c>
      <c r="H334" s="472" t="s">
        <v>1926</v>
      </c>
      <c r="I334" s="270" t="s">
        <v>1927</v>
      </c>
      <c r="J334" s="554">
        <v>0</v>
      </c>
      <c r="K334" s="270">
        <v>0</v>
      </c>
    </row>
    <row r="335" spans="1:11">
      <c r="A335">
        <v>330</v>
      </c>
      <c r="B335" s="472" t="s">
        <v>1928</v>
      </c>
      <c r="C335" t="s">
        <v>1929</v>
      </c>
      <c r="G335" s="270">
        <v>330</v>
      </c>
      <c r="H335" s="472" t="s">
        <v>1928</v>
      </c>
      <c r="I335" s="270" t="s">
        <v>1929</v>
      </c>
      <c r="J335" s="554">
        <v>329</v>
      </c>
      <c r="K335" s="270">
        <v>365</v>
      </c>
    </row>
    <row r="336" spans="1:11">
      <c r="A336">
        <v>331</v>
      </c>
      <c r="B336" s="472" t="s">
        <v>1930</v>
      </c>
      <c r="C336" t="s">
        <v>1931</v>
      </c>
      <c r="G336" s="270">
        <v>331</v>
      </c>
      <c r="H336" s="472" t="s">
        <v>1930</v>
      </c>
      <c r="I336" s="270" t="s">
        <v>1931</v>
      </c>
      <c r="J336" s="554">
        <v>254</v>
      </c>
      <c r="K336" s="270">
        <v>260</v>
      </c>
    </row>
    <row r="337" spans="1:11">
      <c r="A337">
        <v>332</v>
      </c>
      <c r="B337" s="472" t="s">
        <v>1932</v>
      </c>
      <c r="C337" t="s">
        <v>1933</v>
      </c>
      <c r="G337" s="270">
        <v>332</v>
      </c>
      <c r="H337" s="472" t="s">
        <v>1932</v>
      </c>
      <c r="I337" s="270" t="s">
        <v>1933</v>
      </c>
      <c r="J337" s="554">
        <v>732</v>
      </c>
      <c r="K337" s="270">
        <v>781</v>
      </c>
    </row>
    <row r="338" spans="1:11">
      <c r="A338">
        <v>333</v>
      </c>
      <c r="B338" s="472" t="s">
        <v>1934</v>
      </c>
      <c r="C338" t="s">
        <v>1935</v>
      </c>
      <c r="G338" s="270">
        <v>333</v>
      </c>
      <c r="H338" s="472" t="s">
        <v>1934</v>
      </c>
      <c r="I338" s="270" t="s">
        <v>1935</v>
      </c>
      <c r="J338" s="554">
        <v>0</v>
      </c>
      <c r="K338" s="270">
        <v>0</v>
      </c>
    </row>
    <row r="339" spans="1:11">
      <c r="A339">
        <v>334</v>
      </c>
      <c r="B339" s="472" t="s">
        <v>1936</v>
      </c>
      <c r="C339" t="s">
        <v>1937</v>
      </c>
      <c r="G339" s="270">
        <v>334</v>
      </c>
      <c r="H339" s="472" t="s">
        <v>1936</v>
      </c>
      <c r="I339" s="270" t="s">
        <v>1937</v>
      </c>
      <c r="J339" s="554">
        <v>0</v>
      </c>
      <c r="K339" s="270">
        <v>0</v>
      </c>
    </row>
    <row r="340" spans="1:11">
      <c r="A340">
        <v>335</v>
      </c>
      <c r="B340" s="472" t="s">
        <v>1938</v>
      </c>
      <c r="C340" t="s">
        <v>1939</v>
      </c>
      <c r="G340" s="270">
        <v>335</v>
      </c>
      <c r="H340" s="472" t="s">
        <v>1938</v>
      </c>
      <c r="I340" s="270" t="s">
        <v>1939</v>
      </c>
      <c r="J340" s="554">
        <v>544</v>
      </c>
      <c r="K340" s="270">
        <v>549</v>
      </c>
    </row>
    <row r="341" spans="1:11">
      <c r="A341">
        <v>336</v>
      </c>
      <c r="B341" s="472" t="s">
        <v>1940</v>
      </c>
      <c r="C341" t="s">
        <v>1941</v>
      </c>
      <c r="G341" s="270">
        <v>336</v>
      </c>
      <c r="H341" s="472" t="s">
        <v>1940</v>
      </c>
      <c r="I341" s="270" t="s">
        <v>1941</v>
      </c>
      <c r="J341" s="554">
        <v>1196</v>
      </c>
      <c r="K341" s="270">
        <v>1208</v>
      </c>
    </row>
    <row r="342" spans="1:11">
      <c r="A342">
        <v>337</v>
      </c>
      <c r="B342" s="472" t="s">
        <v>1942</v>
      </c>
      <c r="C342" t="s">
        <v>1943</v>
      </c>
      <c r="G342" s="270">
        <v>337</v>
      </c>
      <c r="H342" s="472" t="s">
        <v>1942</v>
      </c>
      <c r="I342" s="270" t="s">
        <v>1943</v>
      </c>
      <c r="J342" s="554">
        <v>12</v>
      </c>
      <c r="K342" s="270">
        <v>15</v>
      </c>
    </row>
    <row r="343" spans="1:11">
      <c r="A343">
        <v>338</v>
      </c>
      <c r="B343" s="472" t="s">
        <v>1944</v>
      </c>
      <c r="C343" t="s">
        <v>1945</v>
      </c>
      <c r="G343" s="270">
        <v>338</v>
      </c>
      <c r="H343" s="472" t="s">
        <v>1944</v>
      </c>
      <c r="I343" s="270" t="s">
        <v>1945</v>
      </c>
      <c r="J343" s="554">
        <v>0</v>
      </c>
      <c r="K343" s="270">
        <v>0</v>
      </c>
    </row>
    <row r="344" spans="1:11">
      <c r="A344">
        <v>339</v>
      </c>
      <c r="B344" s="472" t="s">
        <v>1946</v>
      </c>
      <c r="C344" t="s">
        <v>1947</v>
      </c>
      <c r="G344" s="270">
        <v>339</v>
      </c>
      <c r="H344" s="472" t="s">
        <v>1946</v>
      </c>
      <c r="I344" s="270" t="s">
        <v>1947</v>
      </c>
      <c r="J344" s="554">
        <v>0</v>
      </c>
      <c r="K344" s="270">
        <v>0</v>
      </c>
    </row>
    <row r="345" spans="1:11">
      <c r="A345">
        <v>340</v>
      </c>
      <c r="B345" s="472" t="s">
        <v>1948</v>
      </c>
      <c r="C345" t="s">
        <v>1949</v>
      </c>
      <c r="G345" s="270">
        <v>340</v>
      </c>
      <c r="H345" s="472" t="s">
        <v>1948</v>
      </c>
      <c r="I345" s="270" t="s">
        <v>1949</v>
      </c>
      <c r="J345" s="554">
        <v>23</v>
      </c>
      <c r="K345" s="270">
        <v>25</v>
      </c>
    </row>
    <row r="346" spans="1:11">
      <c r="A346">
        <v>341</v>
      </c>
      <c r="B346" s="474">
        <v>341</v>
      </c>
      <c r="C346" t="s">
        <v>1950</v>
      </c>
      <c r="G346" s="270">
        <v>341</v>
      </c>
      <c r="H346" s="472">
        <v>341</v>
      </c>
      <c r="I346" s="270" t="s">
        <v>1950</v>
      </c>
      <c r="J346" s="554">
        <v>0</v>
      </c>
      <c r="K346" s="270">
        <v>0</v>
      </c>
    </row>
    <row r="347" spans="1:11">
      <c r="A347">
        <v>342</v>
      </c>
      <c r="B347" s="472" t="s">
        <v>1951</v>
      </c>
      <c r="C347" t="s">
        <v>1952</v>
      </c>
      <c r="G347" s="270">
        <v>342</v>
      </c>
      <c r="H347" s="472" t="s">
        <v>1951</v>
      </c>
      <c r="I347" s="270" t="s">
        <v>1952</v>
      </c>
      <c r="J347" s="554">
        <v>489</v>
      </c>
      <c r="K347" s="270">
        <v>587</v>
      </c>
    </row>
    <row r="348" spans="1:11">
      <c r="A348">
        <v>343</v>
      </c>
      <c r="B348" s="472" t="s">
        <v>1953</v>
      </c>
      <c r="C348" t="s">
        <v>1954</v>
      </c>
      <c r="G348" s="270">
        <v>343</v>
      </c>
      <c r="H348" s="472" t="s">
        <v>1953</v>
      </c>
      <c r="I348" s="270" t="s">
        <v>1954</v>
      </c>
      <c r="J348" s="554">
        <v>264</v>
      </c>
      <c r="K348" s="270">
        <v>270</v>
      </c>
    </row>
    <row r="349" spans="1:11">
      <c r="A349">
        <v>344</v>
      </c>
      <c r="B349" s="472" t="s">
        <v>1955</v>
      </c>
      <c r="C349" t="s">
        <v>1956</v>
      </c>
      <c r="G349" s="270">
        <v>344</v>
      </c>
      <c r="H349" s="472" t="s">
        <v>1955</v>
      </c>
      <c r="I349" s="270" t="s">
        <v>1956</v>
      </c>
      <c r="J349" s="554">
        <v>744</v>
      </c>
      <c r="K349" s="270">
        <v>784</v>
      </c>
    </row>
    <row r="350" spans="1:11">
      <c r="A350">
        <v>345</v>
      </c>
      <c r="B350" s="472" t="s">
        <v>1957</v>
      </c>
      <c r="C350" t="s">
        <v>1958</v>
      </c>
      <c r="G350" s="270">
        <v>345</v>
      </c>
      <c r="H350" s="472" t="s">
        <v>1957</v>
      </c>
      <c r="I350" s="270" t="s">
        <v>1958</v>
      </c>
      <c r="J350" s="554">
        <v>0</v>
      </c>
      <c r="K350" s="270">
        <v>0</v>
      </c>
    </row>
    <row r="351" spans="1:11">
      <c r="A351">
        <v>346</v>
      </c>
      <c r="B351" s="472" t="s">
        <v>1959</v>
      </c>
      <c r="C351" t="s">
        <v>1960</v>
      </c>
      <c r="G351" s="270">
        <v>346</v>
      </c>
      <c r="H351" s="472" t="s">
        <v>1959</v>
      </c>
      <c r="I351" s="270" t="s">
        <v>1960</v>
      </c>
      <c r="J351" s="554">
        <v>285</v>
      </c>
      <c r="K351" s="270">
        <v>296</v>
      </c>
    </row>
    <row r="352" spans="1:11">
      <c r="A352">
        <v>347</v>
      </c>
      <c r="B352" s="472" t="s">
        <v>1961</v>
      </c>
      <c r="C352" t="s">
        <v>1962</v>
      </c>
      <c r="G352" s="270">
        <v>347</v>
      </c>
      <c r="H352" s="472" t="s">
        <v>1961</v>
      </c>
      <c r="I352" s="270" t="s">
        <v>1962</v>
      </c>
      <c r="J352" s="554">
        <v>764</v>
      </c>
      <c r="K352" s="270">
        <v>791</v>
      </c>
    </row>
    <row r="353" spans="1:11">
      <c r="A353">
        <v>348</v>
      </c>
      <c r="B353" s="474">
        <v>348</v>
      </c>
      <c r="C353" t="s">
        <v>1963</v>
      </c>
      <c r="G353" s="270">
        <v>348</v>
      </c>
      <c r="H353" s="472">
        <v>348</v>
      </c>
      <c r="I353" s="270" t="s">
        <v>1963</v>
      </c>
      <c r="J353" s="554">
        <v>5190</v>
      </c>
      <c r="K353" s="270">
        <v>5332</v>
      </c>
    </row>
    <row r="354" spans="1:11">
      <c r="A354">
        <v>349</v>
      </c>
      <c r="B354" s="472" t="s">
        <v>1964</v>
      </c>
      <c r="C354" t="s">
        <v>1965</v>
      </c>
      <c r="G354" s="270">
        <v>349</v>
      </c>
      <c r="H354" s="472" t="s">
        <v>1964</v>
      </c>
      <c r="I354" s="270" t="s">
        <v>1965</v>
      </c>
      <c r="J354" s="554">
        <v>15</v>
      </c>
      <c r="K354" s="270">
        <v>17</v>
      </c>
    </row>
    <row r="355" spans="1:11">
      <c r="A355">
        <v>350</v>
      </c>
      <c r="B355" s="472" t="s">
        <v>1966</v>
      </c>
      <c r="C355" t="s">
        <v>1967</v>
      </c>
      <c r="G355" s="270">
        <v>350</v>
      </c>
      <c r="H355" s="472" t="s">
        <v>1966</v>
      </c>
      <c r="I355" s="270" t="s">
        <v>1967</v>
      </c>
      <c r="J355" s="554">
        <v>163</v>
      </c>
      <c r="K355" s="270">
        <v>173</v>
      </c>
    </row>
    <row r="356" spans="1:11">
      <c r="A356">
        <v>351</v>
      </c>
      <c r="B356" s="472" t="s">
        <v>1968</v>
      </c>
      <c r="C356" t="s">
        <v>1969</v>
      </c>
      <c r="G356" s="270">
        <v>351</v>
      </c>
      <c r="H356" s="472" t="s">
        <v>1968</v>
      </c>
      <c r="I356" s="270" t="s">
        <v>1969</v>
      </c>
      <c r="J356" s="554">
        <v>0</v>
      </c>
      <c r="K356" s="270">
        <v>0</v>
      </c>
    </row>
    <row r="357" spans="1:11">
      <c r="A357">
        <v>352</v>
      </c>
      <c r="B357" s="472" t="s">
        <v>1970</v>
      </c>
      <c r="C357" t="s">
        <v>1971</v>
      </c>
      <c r="G357" s="270">
        <v>352</v>
      </c>
      <c r="H357" s="472" t="s">
        <v>1970</v>
      </c>
      <c r="I357" s="270" t="s">
        <v>1971</v>
      </c>
      <c r="J357" s="554">
        <v>0</v>
      </c>
      <c r="K357" s="270">
        <v>0</v>
      </c>
    </row>
    <row r="358" spans="1:11">
      <c r="A358">
        <v>406</v>
      </c>
      <c r="B358" s="472" t="s">
        <v>1972</v>
      </c>
      <c r="C358" t="s">
        <v>1973</v>
      </c>
      <c r="G358" s="270">
        <v>406</v>
      </c>
      <c r="H358" s="472" t="s">
        <v>1972</v>
      </c>
      <c r="I358" s="270" t="s">
        <v>1973</v>
      </c>
      <c r="J358" s="554">
        <v>215</v>
      </c>
      <c r="K358" s="270">
        <v>202</v>
      </c>
    </row>
    <row r="359" spans="1:11">
      <c r="A359">
        <v>600</v>
      </c>
      <c r="B359" s="472" t="s">
        <v>1974</v>
      </c>
      <c r="C359" t="s">
        <v>1975</v>
      </c>
      <c r="G359" s="270">
        <v>600</v>
      </c>
      <c r="H359" s="472" t="s">
        <v>1974</v>
      </c>
      <c r="I359" s="270" t="s">
        <v>1975</v>
      </c>
      <c r="J359" s="554">
        <v>794</v>
      </c>
      <c r="K359" s="270">
        <v>866</v>
      </c>
    </row>
    <row r="360" spans="1:11">
      <c r="A360">
        <v>603</v>
      </c>
      <c r="B360" s="472" t="s">
        <v>1976</v>
      </c>
      <c r="C360" t="s">
        <v>1977</v>
      </c>
      <c r="G360" s="270">
        <v>603</v>
      </c>
      <c r="H360" s="472" t="s">
        <v>1976</v>
      </c>
      <c r="I360" s="270" t="s">
        <v>1977</v>
      </c>
      <c r="J360" s="554">
        <v>248</v>
      </c>
      <c r="K360" s="270">
        <v>268</v>
      </c>
    </row>
    <row r="361" spans="1:11">
      <c r="A361">
        <v>605</v>
      </c>
      <c r="B361" s="472" t="s">
        <v>1978</v>
      </c>
      <c r="C361" t="s">
        <v>1979</v>
      </c>
      <c r="G361" s="270">
        <v>605</v>
      </c>
      <c r="H361" s="472" t="s">
        <v>1978</v>
      </c>
      <c r="I361" s="270" t="s">
        <v>1979</v>
      </c>
      <c r="J361" s="554">
        <v>288</v>
      </c>
      <c r="K361" s="270">
        <v>289</v>
      </c>
    </row>
    <row r="362" spans="1:11">
      <c r="A362">
        <v>610</v>
      </c>
      <c r="B362" s="472" t="s">
        <v>1980</v>
      </c>
      <c r="C362" t="s">
        <v>1981</v>
      </c>
      <c r="G362" s="270">
        <v>610</v>
      </c>
      <c r="H362" s="472" t="s">
        <v>1980</v>
      </c>
      <c r="I362" s="270" t="s">
        <v>1981</v>
      </c>
      <c r="J362" s="554">
        <v>427</v>
      </c>
      <c r="K362" s="270">
        <v>448</v>
      </c>
    </row>
    <row r="363" spans="1:11">
      <c r="A363">
        <v>615</v>
      </c>
      <c r="B363" s="474">
        <v>615</v>
      </c>
      <c r="C363" t="s">
        <v>1982</v>
      </c>
      <c r="G363" s="270">
        <v>615</v>
      </c>
      <c r="H363" s="472">
        <v>615</v>
      </c>
      <c r="I363" s="270" t="s">
        <v>1982</v>
      </c>
      <c r="J363" s="554">
        <v>348</v>
      </c>
      <c r="K363" s="270">
        <v>384</v>
      </c>
    </row>
    <row r="364" spans="1:11">
      <c r="A364">
        <v>616</v>
      </c>
      <c r="B364" s="472" t="s">
        <v>1983</v>
      </c>
      <c r="C364" t="s">
        <v>1984</v>
      </c>
      <c r="G364" s="270">
        <v>616</v>
      </c>
      <c r="H364" s="472" t="s">
        <v>1983</v>
      </c>
      <c r="I364" s="270" t="s">
        <v>1984</v>
      </c>
      <c r="J364" s="554">
        <v>352</v>
      </c>
      <c r="K364" s="270">
        <v>357</v>
      </c>
    </row>
    <row r="365" spans="1:11">
      <c r="A365">
        <v>618</v>
      </c>
      <c r="B365" s="472" t="s">
        <v>1985</v>
      </c>
      <c r="C365" t="s">
        <v>1986</v>
      </c>
      <c r="G365" s="270">
        <v>618</v>
      </c>
      <c r="H365" s="472" t="s">
        <v>1985</v>
      </c>
      <c r="I365" s="270" t="s">
        <v>1986</v>
      </c>
      <c r="J365" s="554">
        <v>215</v>
      </c>
      <c r="K365" s="270">
        <v>227</v>
      </c>
    </row>
    <row r="366" spans="1:11">
      <c r="A366">
        <v>620</v>
      </c>
      <c r="B366" s="472" t="s">
        <v>1987</v>
      </c>
      <c r="C366" t="s">
        <v>1988</v>
      </c>
      <c r="G366" s="270">
        <v>620</v>
      </c>
      <c r="H366" s="472" t="s">
        <v>1987</v>
      </c>
      <c r="I366" s="270" t="s">
        <v>1988</v>
      </c>
      <c r="J366" s="554">
        <v>171</v>
      </c>
      <c r="K366" s="270">
        <v>177</v>
      </c>
    </row>
    <row r="367" spans="1:11">
      <c r="A367">
        <v>622</v>
      </c>
      <c r="B367" s="472" t="s">
        <v>1989</v>
      </c>
      <c r="C367" t="s">
        <v>1990</v>
      </c>
      <c r="G367" s="270">
        <v>622</v>
      </c>
      <c r="H367" s="472" t="s">
        <v>1989</v>
      </c>
      <c r="I367" s="270" t="s">
        <v>1990</v>
      </c>
      <c r="J367" s="554">
        <v>284</v>
      </c>
      <c r="K367" s="270">
        <v>292</v>
      </c>
    </row>
    <row r="368" spans="1:11">
      <c r="A368">
        <v>625</v>
      </c>
      <c r="B368" s="472" t="s">
        <v>1991</v>
      </c>
      <c r="C368" t="s">
        <v>1992</v>
      </c>
      <c r="G368" s="270">
        <v>625</v>
      </c>
      <c r="H368" s="472" t="s">
        <v>1991</v>
      </c>
      <c r="I368" s="270" t="s">
        <v>1992</v>
      </c>
      <c r="J368" s="554">
        <v>864</v>
      </c>
      <c r="K368" s="270">
        <v>886</v>
      </c>
    </row>
    <row r="369" spans="1:11">
      <c r="A369">
        <v>632</v>
      </c>
      <c r="B369" s="472" t="s">
        <v>1993</v>
      </c>
      <c r="C369" t="s">
        <v>1994</v>
      </c>
      <c r="G369" s="270">
        <v>632</v>
      </c>
      <c r="H369" s="472" t="s">
        <v>1993</v>
      </c>
      <c r="I369" s="270" t="s">
        <v>1994</v>
      </c>
      <c r="J369" s="554">
        <v>24</v>
      </c>
      <c r="K369" s="270">
        <v>28</v>
      </c>
    </row>
    <row r="370" spans="1:11">
      <c r="A370">
        <v>635</v>
      </c>
      <c r="B370" s="472" t="s">
        <v>1995</v>
      </c>
      <c r="C370" t="s">
        <v>1996</v>
      </c>
      <c r="G370" s="270">
        <v>635</v>
      </c>
      <c r="H370" s="472" t="s">
        <v>1995</v>
      </c>
      <c r="I370" s="270" t="s">
        <v>1996</v>
      </c>
      <c r="J370" s="554">
        <v>232</v>
      </c>
      <c r="K370" s="270">
        <v>225</v>
      </c>
    </row>
    <row r="371" spans="1:11">
      <c r="A371">
        <v>640</v>
      </c>
      <c r="B371" s="472" t="s">
        <v>1997</v>
      </c>
      <c r="C371" t="s">
        <v>1998</v>
      </c>
      <c r="G371" s="270">
        <v>640</v>
      </c>
      <c r="H371" s="472" t="s">
        <v>1997</v>
      </c>
      <c r="I371" s="270" t="s">
        <v>1998</v>
      </c>
      <c r="J371" s="554">
        <v>241</v>
      </c>
      <c r="K371" s="270">
        <v>252</v>
      </c>
    </row>
    <row r="372" spans="1:11">
      <c r="A372">
        <v>645</v>
      </c>
      <c r="B372" s="472" t="s">
        <v>1999</v>
      </c>
      <c r="C372" t="s">
        <v>2000</v>
      </c>
      <c r="G372" s="270">
        <v>645</v>
      </c>
      <c r="H372" s="472" t="s">
        <v>1999</v>
      </c>
      <c r="I372" s="270" t="s">
        <v>2000</v>
      </c>
      <c r="J372" s="554">
        <v>497</v>
      </c>
      <c r="K372" s="270">
        <v>572</v>
      </c>
    </row>
    <row r="373" spans="1:11">
      <c r="A373">
        <v>650</v>
      </c>
      <c r="B373" s="472" t="s">
        <v>2001</v>
      </c>
      <c r="C373" t="s">
        <v>2002</v>
      </c>
      <c r="G373" s="270">
        <v>650</v>
      </c>
      <c r="H373" s="472" t="s">
        <v>2001</v>
      </c>
      <c r="I373" s="270" t="s">
        <v>2002</v>
      </c>
      <c r="J373" s="554">
        <v>402</v>
      </c>
      <c r="K373" s="270">
        <v>429</v>
      </c>
    </row>
    <row r="374" spans="1:11">
      <c r="A374">
        <v>655</v>
      </c>
      <c r="B374" s="472" t="s">
        <v>2003</v>
      </c>
      <c r="C374" t="s">
        <v>2004</v>
      </c>
      <c r="G374" s="270">
        <v>655</v>
      </c>
      <c r="H374" s="472" t="s">
        <v>2003</v>
      </c>
      <c r="I374" s="270" t="s">
        <v>2004</v>
      </c>
      <c r="J374" s="554">
        <v>207</v>
      </c>
      <c r="K374" s="270">
        <v>213</v>
      </c>
    </row>
    <row r="375" spans="1:11">
      <c r="A375">
        <v>658</v>
      </c>
      <c r="B375" s="472" t="s">
        <v>2005</v>
      </c>
      <c r="C375" t="s">
        <v>2006</v>
      </c>
      <c r="G375" s="270">
        <v>658</v>
      </c>
      <c r="H375" s="472" t="s">
        <v>2005</v>
      </c>
      <c r="I375" s="270" t="s">
        <v>2006</v>
      </c>
      <c r="J375" s="554">
        <v>557</v>
      </c>
      <c r="K375" s="270">
        <v>591</v>
      </c>
    </row>
    <row r="376" spans="1:11">
      <c r="A376">
        <v>660</v>
      </c>
      <c r="B376" s="472" t="s">
        <v>2007</v>
      </c>
      <c r="C376" t="s">
        <v>2008</v>
      </c>
      <c r="G376" s="270">
        <v>660</v>
      </c>
      <c r="H376" s="472" t="s">
        <v>2007</v>
      </c>
      <c r="I376" s="270" t="s">
        <v>2008</v>
      </c>
      <c r="J376" s="554">
        <v>256</v>
      </c>
      <c r="K376" s="270">
        <v>263</v>
      </c>
    </row>
    <row r="377" spans="1:11">
      <c r="A377">
        <v>662</v>
      </c>
      <c r="B377" s="472" t="s">
        <v>2009</v>
      </c>
      <c r="C377" t="s">
        <v>2010</v>
      </c>
      <c r="G377" s="270">
        <v>662</v>
      </c>
      <c r="H377" s="472" t="s">
        <v>2009</v>
      </c>
      <c r="I377" s="270" t="s">
        <v>2010</v>
      </c>
      <c r="J377" s="554">
        <v>25</v>
      </c>
      <c r="K377" s="270">
        <v>23</v>
      </c>
    </row>
    <row r="378" spans="1:11">
      <c r="A378">
        <v>665</v>
      </c>
      <c r="B378" s="472" t="s">
        <v>2011</v>
      </c>
      <c r="C378" t="s">
        <v>2012</v>
      </c>
      <c r="G378" s="270">
        <v>665</v>
      </c>
      <c r="H378" s="472" t="s">
        <v>2011</v>
      </c>
      <c r="I378" s="270" t="s">
        <v>2012</v>
      </c>
      <c r="J378" s="554">
        <v>434</v>
      </c>
      <c r="K378" s="270">
        <v>487</v>
      </c>
    </row>
    <row r="379" spans="1:11">
      <c r="A379">
        <v>670</v>
      </c>
      <c r="B379" s="472" t="s">
        <v>2013</v>
      </c>
      <c r="C379" t="s">
        <v>2014</v>
      </c>
      <c r="G379" s="270">
        <v>670</v>
      </c>
      <c r="H379" s="472" t="s">
        <v>2013</v>
      </c>
      <c r="I379" s="270" t="s">
        <v>2014</v>
      </c>
      <c r="J379" s="554">
        <v>115</v>
      </c>
      <c r="K379" s="270">
        <v>130</v>
      </c>
    </row>
    <row r="380" spans="1:11">
      <c r="A380">
        <v>672</v>
      </c>
      <c r="B380" s="472" t="s">
        <v>2015</v>
      </c>
      <c r="C380" t="s">
        <v>2016</v>
      </c>
      <c r="G380" s="270">
        <v>672</v>
      </c>
      <c r="H380" s="472" t="s">
        <v>2015</v>
      </c>
      <c r="I380" s="270" t="s">
        <v>2016</v>
      </c>
      <c r="J380" s="554">
        <v>163</v>
      </c>
      <c r="K380" s="270">
        <v>171</v>
      </c>
    </row>
    <row r="381" spans="1:11">
      <c r="A381">
        <v>673</v>
      </c>
      <c r="B381" s="472" t="s">
        <v>2017</v>
      </c>
      <c r="C381" t="s">
        <v>2018</v>
      </c>
      <c r="G381" s="270">
        <v>673</v>
      </c>
      <c r="H381" s="472" t="s">
        <v>2017</v>
      </c>
      <c r="I381" s="270" t="s">
        <v>2018</v>
      </c>
      <c r="J381" s="554">
        <v>372</v>
      </c>
      <c r="K381" s="270">
        <v>393</v>
      </c>
    </row>
    <row r="382" spans="1:11">
      <c r="A382">
        <v>674</v>
      </c>
      <c r="B382" s="472" t="s">
        <v>2019</v>
      </c>
      <c r="C382" t="s">
        <v>2020</v>
      </c>
      <c r="G382" s="270">
        <v>674</v>
      </c>
      <c r="H382" s="472" t="s">
        <v>2019</v>
      </c>
      <c r="I382" s="270" t="s">
        <v>2020</v>
      </c>
      <c r="J382" s="554">
        <v>209</v>
      </c>
      <c r="K382" s="270">
        <v>214</v>
      </c>
    </row>
    <row r="383" spans="1:11">
      <c r="A383">
        <v>675</v>
      </c>
      <c r="B383" s="474">
        <v>675</v>
      </c>
      <c r="C383" t="s">
        <v>2021</v>
      </c>
      <c r="G383" s="270">
        <v>675</v>
      </c>
      <c r="H383" s="472">
        <v>675</v>
      </c>
      <c r="I383" s="270" t="s">
        <v>2021</v>
      </c>
      <c r="J383" s="554">
        <v>329</v>
      </c>
      <c r="K383" s="270">
        <v>355</v>
      </c>
    </row>
    <row r="384" spans="1:11">
      <c r="A384">
        <v>680</v>
      </c>
      <c r="B384" s="472" t="s">
        <v>2022</v>
      </c>
      <c r="C384" t="s">
        <v>2023</v>
      </c>
      <c r="G384" s="270">
        <v>680</v>
      </c>
      <c r="H384" s="472" t="s">
        <v>2022</v>
      </c>
      <c r="I384" s="270" t="s">
        <v>2023</v>
      </c>
      <c r="J384" s="554">
        <v>444</v>
      </c>
      <c r="K384" s="270">
        <v>447</v>
      </c>
    </row>
    <row r="385" spans="1:11">
      <c r="A385">
        <v>683</v>
      </c>
      <c r="B385" s="472" t="s">
        <v>2024</v>
      </c>
      <c r="C385" t="s">
        <v>2025</v>
      </c>
      <c r="G385" s="270">
        <v>683</v>
      </c>
      <c r="H385" s="472" t="s">
        <v>2024</v>
      </c>
      <c r="I385" s="270" t="s">
        <v>2025</v>
      </c>
      <c r="J385" s="554">
        <v>161</v>
      </c>
      <c r="K385" s="270">
        <v>179</v>
      </c>
    </row>
    <row r="386" spans="1:11">
      <c r="A386">
        <v>685</v>
      </c>
      <c r="B386" s="472" t="s">
        <v>2026</v>
      </c>
      <c r="C386" t="s">
        <v>2027</v>
      </c>
      <c r="G386" s="270">
        <v>685</v>
      </c>
      <c r="H386" s="472" t="s">
        <v>2026</v>
      </c>
      <c r="I386" s="270" t="s">
        <v>2027</v>
      </c>
      <c r="J386" s="554">
        <v>33</v>
      </c>
      <c r="K386" s="270">
        <v>41</v>
      </c>
    </row>
    <row r="387" spans="1:11">
      <c r="A387">
        <v>690</v>
      </c>
      <c r="B387" s="472" t="s">
        <v>2028</v>
      </c>
      <c r="C387" t="s">
        <v>2029</v>
      </c>
      <c r="G387" s="270">
        <v>690</v>
      </c>
      <c r="H387" s="472" t="s">
        <v>2028</v>
      </c>
      <c r="I387" s="270" t="s">
        <v>2029</v>
      </c>
      <c r="J387" s="554">
        <v>339</v>
      </c>
      <c r="K387" s="270">
        <v>321</v>
      </c>
    </row>
    <row r="388" spans="1:11">
      <c r="A388">
        <v>695</v>
      </c>
      <c r="B388" s="472" t="s">
        <v>2030</v>
      </c>
      <c r="C388" t="s">
        <v>2031</v>
      </c>
      <c r="G388" s="270">
        <v>695</v>
      </c>
      <c r="H388" s="472" t="s">
        <v>2030</v>
      </c>
      <c r="I388" s="270" t="s">
        <v>2031</v>
      </c>
      <c r="J388" s="554">
        <v>342</v>
      </c>
      <c r="K388" s="270">
        <v>320</v>
      </c>
    </row>
    <row r="389" spans="1:11">
      <c r="A389">
        <v>698</v>
      </c>
      <c r="B389" s="474">
        <v>698</v>
      </c>
      <c r="C389" t="s">
        <v>2032</v>
      </c>
      <c r="G389" s="270">
        <v>698</v>
      </c>
      <c r="H389" s="472">
        <v>698</v>
      </c>
      <c r="I389" s="270" t="s">
        <v>2032</v>
      </c>
      <c r="J389" s="554">
        <v>230</v>
      </c>
      <c r="K389" s="270">
        <v>238</v>
      </c>
    </row>
    <row r="390" spans="1:11">
      <c r="A390">
        <v>700</v>
      </c>
      <c r="B390" s="472" t="s">
        <v>2033</v>
      </c>
      <c r="C390" t="s">
        <v>2034</v>
      </c>
      <c r="G390" s="270">
        <v>700</v>
      </c>
      <c r="H390" s="472" t="s">
        <v>2033</v>
      </c>
      <c r="I390" s="270" t="s">
        <v>2034</v>
      </c>
      <c r="J390" s="554">
        <v>159</v>
      </c>
      <c r="K390" s="270">
        <v>153</v>
      </c>
    </row>
    <row r="391" spans="1:11">
      <c r="A391">
        <v>705</v>
      </c>
      <c r="B391" s="472" t="s">
        <v>2035</v>
      </c>
      <c r="C391" t="s">
        <v>2036</v>
      </c>
      <c r="G391" s="270">
        <v>705</v>
      </c>
      <c r="H391" s="472" t="s">
        <v>2035</v>
      </c>
      <c r="I391" s="270" t="s">
        <v>2036</v>
      </c>
      <c r="J391" s="554">
        <v>321</v>
      </c>
      <c r="K391" s="270">
        <v>323</v>
      </c>
    </row>
    <row r="392" spans="1:11">
      <c r="A392">
        <v>710</v>
      </c>
      <c r="B392" s="472" t="s">
        <v>2037</v>
      </c>
      <c r="C392" t="s">
        <v>2038</v>
      </c>
      <c r="G392" s="270">
        <v>710</v>
      </c>
      <c r="H392" s="472" t="s">
        <v>2037</v>
      </c>
      <c r="I392" s="270" t="s">
        <v>2038</v>
      </c>
      <c r="J392" s="554">
        <v>349</v>
      </c>
      <c r="K392" s="270">
        <v>357</v>
      </c>
    </row>
    <row r="393" spans="1:11">
      <c r="A393">
        <v>712</v>
      </c>
      <c r="B393" s="472" t="s">
        <v>2039</v>
      </c>
      <c r="C393" t="s">
        <v>2040</v>
      </c>
      <c r="G393" s="270">
        <v>712</v>
      </c>
      <c r="H393" s="472" t="s">
        <v>2039</v>
      </c>
      <c r="I393" s="270" t="s">
        <v>2040</v>
      </c>
      <c r="J393" s="554">
        <v>299</v>
      </c>
      <c r="K393" s="270">
        <v>316</v>
      </c>
    </row>
    <row r="394" spans="1:11">
      <c r="A394">
        <v>715</v>
      </c>
      <c r="B394" s="472" t="s">
        <v>2041</v>
      </c>
      <c r="C394" t="s">
        <v>2042</v>
      </c>
      <c r="G394" s="270">
        <v>715</v>
      </c>
      <c r="H394" s="472" t="s">
        <v>2041</v>
      </c>
      <c r="I394" s="270" t="s">
        <v>2042</v>
      </c>
      <c r="J394" s="554">
        <v>156</v>
      </c>
      <c r="K394" s="270">
        <v>171</v>
      </c>
    </row>
    <row r="395" spans="1:11">
      <c r="A395">
        <v>717</v>
      </c>
      <c r="B395" s="472" t="s">
        <v>2043</v>
      </c>
      <c r="C395" t="s">
        <v>2044</v>
      </c>
      <c r="G395" s="270">
        <v>717</v>
      </c>
      <c r="H395" s="472" t="s">
        <v>2043</v>
      </c>
      <c r="I395" s="270" t="s">
        <v>2044</v>
      </c>
      <c r="J395" s="554">
        <v>180</v>
      </c>
      <c r="K395" s="270">
        <v>194</v>
      </c>
    </row>
    <row r="396" spans="1:11">
      <c r="A396">
        <v>720</v>
      </c>
      <c r="B396" s="472" t="s">
        <v>2045</v>
      </c>
      <c r="C396" t="s">
        <v>2046</v>
      </c>
      <c r="G396" s="270">
        <v>720</v>
      </c>
      <c r="H396" s="472" t="s">
        <v>2045</v>
      </c>
      <c r="I396" s="270" t="s">
        <v>2046</v>
      </c>
      <c r="J396" s="554">
        <v>252</v>
      </c>
      <c r="K396" s="270">
        <v>246</v>
      </c>
    </row>
    <row r="397" spans="1:11">
      <c r="A397">
        <v>725</v>
      </c>
      <c r="B397" s="472" t="s">
        <v>2047</v>
      </c>
      <c r="C397" t="s">
        <v>2048</v>
      </c>
      <c r="G397" s="270">
        <v>725</v>
      </c>
      <c r="H397" s="472" t="s">
        <v>2047</v>
      </c>
      <c r="I397" s="270" t="s">
        <v>2048</v>
      </c>
      <c r="J397" s="554">
        <v>541</v>
      </c>
      <c r="K397" s="270">
        <v>561</v>
      </c>
    </row>
    <row r="398" spans="1:11">
      <c r="A398">
        <v>728</v>
      </c>
      <c r="B398" s="472" t="s">
        <v>2049</v>
      </c>
      <c r="C398" t="s">
        <v>2050</v>
      </c>
      <c r="G398" s="270">
        <v>728</v>
      </c>
      <c r="H398" s="472" t="s">
        <v>2049</v>
      </c>
      <c r="I398" s="270" t="s">
        <v>2050</v>
      </c>
      <c r="J398" s="554">
        <v>21</v>
      </c>
      <c r="K398" s="270">
        <v>23</v>
      </c>
    </row>
    <row r="399" spans="1:11">
      <c r="A399">
        <v>730</v>
      </c>
      <c r="B399" s="472" t="s">
        <v>2051</v>
      </c>
      <c r="C399" t="s">
        <v>2052</v>
      </c>
      <c r="G399" s="270">
        <v>730</v>
      </c>
      <c r="H399" s="472" t="s">
        <v>2051</v>
      </c>
      <c r="I399" s="270" t="s">
        <v>2052</v>
      </c>
      <c r="J399" s="554">
        <v>208</v>
      </c>
      <c r="K399" s="270">
        <v>201</v>
      </c>
    </row>
    <row r="400" spans="1:11">
      <c r="A400">
        <v>735</v>
      </c>
      <c r="B400" s="472" t="s">
        <v>2053</v>
      </c>
      <c r="C400" t="s">
        <v>2054</v>
      </c>
      <c r="G400" s="270">
        <v>735</v>
      </c>
      <c r="H400" s="472" t="s">
        <v>2053</v>
      </c>
      <c r="I400" s="270" t="s">
        <v>2054</v>
      </c>
      <c r="J400" s="554">
        <v>658</v>
      </c>
      <c r="K400" s="270">
        <v>731</v>
      </c>
    </row>
    <row r="401" spans="1:11">
      <c r="A401">
        <v>740</v>
      </c>
      <c r="B401" s="472" t="s">
        <v>2055</v>
      </c>
      <c r="C401" t="s">
        <v>2056</v>
      </c>
      <c r="G401" s="270">
        <v>740</v>
      </c>
      <c r="H401" s="472" t="s">
        <v>2055</v>
      </c>
      <c r="I401" s="270" t="s">
        <v>2056</v>
      </c>
      <c r="J401" s="554">
        <v>141</v>
      </c>
      <c r="K401" s="270">
        <v>150</v>
      </c>
    </row>
    <row r="402" spans="1:11">
      <c r="A402">
        <v>745</v>
      </c>
      <c r="B402" s="472" t="s">
        <v>2057</v>
      </c>
      <c r="C402" t="s">
        <v>2058</v>
      </c>
      <c r="G402" s="270">
        <v>745</v>
      </c>
      <c r="H402" s="472" t="s">
        <v>2057</v>
      </c>
      <c r="I402" s="270" t="s">
        <v>2058</v>
      </c>
      <c r="J402" s="554">
        <v>481</v>
      </c>
      <c r="K402" s="270">
        <v>531</v>
      </c>
    </row>
    <row r="403" spans="1:11">
      <c r="A403">
        <v>750</v>
      </c>
      <c r="B403" s="472" t="s">
        <v>2059</v>
      </c>
      <c r="C403" t="s">
        <v>2060</v>
      </c>
      <c r="G403" s="270">
        <v>750</v>
      </c>
      <c r="H403" s="472" t="s">
        <v>2059</v>
      </c>
      <c r="I403" s="270" t="s">
        <v>2060</v>
      </c>
      <c r="J403" s="554">
        <v>140</v>
      </c>
      <c r="K403" s="270">
        <v>151</v>
      </c>
    </row>
    <row r="404" spans="1:11">
      <c r="A404">
        <v>753</v>
      </c>
      <c r="B404" s="472" t="s">
        <v>2061</v>
      </c>
      <c r="C404" t="s">
        <v>2062</v>
      </c>
      <c r="G404" s="270">
        <v>753</v>
      </c>
      <c r="H404" s="472" t="s">
        <v>2061</v>
      </c>
      <c r="I404" s="270" t="s">
        <v>2062</v>
      </c>
      <c r="J404" s="554">
        <v>406</v>
      </c>
      <c r="K404" s="270">
        <v>433</v>
      </c>
    </row>
    <row r="405" spans="1:11">
      <c r="A405">
        <v>755</v>
      </c>
      <c r="B405" s="472" t="s">
        <v>2063</v>
      </c>
      <c r="C405" t="s">
        <v>2064</v>
      </c>
      <c r="G405" s="270">
        <v>755</v>
      </c>
      <c r="H405" s="472" t="s">
        <v>2063</v>
      </c>
      <c r="I405" s="270" t="s">
        <v>2064</v>
      </c>
      <c r="J405" s="554">
        <v>161</v>
      </c>
      <c r="K405" s="270">
        <v>148</v>
      </c>
    </row>
    <row r="406" spans="1:11">
      <c r="A406">
        <v>760</v>
      </c>
      <c r="B406" s="472" t="s">
        <v>2065</v>
      </c>
      <c r="C406" t="s">
        <v>2066</v>
      </c>
      <c r="G406" s="270">
        <v>760</v>
      </c>
      <c r="H406" s="472" t="s">
        <v>2065</v>
      </c>
      <c r="I406" s="270" t="s">
        <v>2066</v>
      </c>
      <c r="J406" s="554">
        <v>288</v>
      </c>
      <c r="K406" s="270">
        <v>291</v>
      </c>
    </row>
    <row r="407" spans="1:11">
      <c r="A407">
        <v>763</v>
      </c>
      <c r="B407" s="472" t="s">
        <v>2067</v>
      </c>
      <c r="C407" t="s">
        <v>2068</v>
      </c>
      <c r="G407" s="270">
        <v>763</v>
      </c>
      <c r="H407" s="472" t="s">
        <v>2067</v>
      </c>
      <c r="I407" s="270" t="s">
        <v>2068</v>
      </c>
      <c r="J407" s="554">
        <v>182</v>
      </c>
      <c r="K407" s="270">
        <v>164</v>
      </c>
    </row>
    <row r="408" spans="1:11">
      <c r="A408">
        <v>765</v>
      </c>
      <c r="B408" s="472" t="s">
        <v>2069</v>
      </c>
      <c r="C408" t="s">
        <v>2070</v>
      </c>
      <c r="G408" s="270">
        <v>765</v>
      </c>
      <c r="H408" s="472" t="s">
        <v>2069</v>
      </c>
      <c r="I408" s="270" t="s">
        <v>2070</v>
      </c>
      <c r="J408" s="554">
        <v>103</v>
      </c>
      <c r="K408" s="270">
        <v>120</v>
      </c>
    </row>
    <row r="409" spans="1:11">
      <c r="A409">
        <v>766</v>
      </c>
      <c r="B409" s="472" t="s">
        <v>2071</v>
      </c>
      <c r="C409" t="s">
        <v>2072</v>
      </c>
      <c r="G409" s="270">
        <v>766</v>
      </c>
      <c r="H409" s="472" t="s">
        <v>2071</v>
      </c>
      <c r="I409" s="270" t="s">
        <v>2072</v>
      </c>
      <c r="J409" s="554">
        <v>240</v>
      </c>
      <c r="K409" s="270">
        <v>247</v>
      </c>
    </row>
    <row r="410" spans="1:11">
      <c r="A410">
        <v>767</v>
      </c>
      <c r="B410" s="472" t="s">
        <v>2073</v>
      </c>
      <c r="C410" t="s">
        <v>2074</v>
      </c>
      <c r="G410" s="270">
        <v>767</v>
      </c>
      <c r="H410" s="472" t="s">
        <v>2073</v>
      </c>
      <c r="I410" s="270" t="s">
        <v>2074</v>
      </c>
      <c r="J410" s="554">
        <v>326</v>
      </c>
      <c r="K410" s="270">
        <v>322</v>
      </c>
    </row>
    <row r="411" spans="1:11">
      <c r="A411">
        <v>770</v>
      </c>
      <c r="B411" s="472" t="s">
        <v>2075</v>
      </c>
      <c r="C411" t="s">
        <v>2076</v>
      </c>
      <c r="G411" s="270">
        <v>770</v>
      </c>
      <c r="H411" s="472" t="s">
        <v>2075</v>
      </c>
      <c r="I411" s="270" t="s">
        <v>2076</v>
      </c>
      <c r="J411" s="554">
        <v>220</v>
      </c>
      <c r="K411" s="270">
        <v>188</v>
      </c>
    </row>
    <row r="412" spans="1:11">
      <c r="A412">
        <v>773</v>
      </c>
      <c r="B412" s="472" t="s">
        <v>2077</v>
      </c>
      <c r="C412" t="s">
        <v>2078</v>
      </c>
      <c r="G412" s="270">
        <v>773</v>
      </c>
      <c r="H412" s="472" t="s">
        <v>2077</v>
      </c>
      <c r="I412" s="270" t="s">
        <v>2078</v>
      </c>
      <c r="J412" s="554">
        <v>384</v>
      </c>
      <c r="K412" s="270">
        <v>420</v>
      </c>
    </row>
    <row r="413" spans="1:11">
      <c r="A413">
        <v>774</v>
      </c>
      <c r="B413" s="472" t="s">
        <v>2079</v>
      </c>
      <c r="C413" t="s">
        <v>2080</v>
      </c>
      <c r="G413" s="270">
        <v>774</v>
      </c>
      <c r="H413" s="472" t="s">
        <v>2079</v>
      </c>
      <c r="I413" s="270" t="s">
        <v>2080</v>
      </c>
      <c r="J413" s="554">
        <v>77</v>
      </c>
      <c r="K413" s="270">
        <v>81</v>
      </c>
    </row>
    <row r="414" spans="1:11">
      <c r="A414">
        <v>775</v>
      </c>
      <c r="B414" s="472" t="s">
        <v>2081</v>
      </c>
      <c r="C414" t="s">
        <v>2082</v>
      </c>
      <c r="G414" s="270">
        <v>775</v>
      </c>
      <c r="H414" s="472" t="s">
        <v>2081</v>
      </c>
      <c r="I414" s="270" t="s">
        <v>2082</v>
      </c>
      <c r="J414" s="554">
        <v>1013</v>
      </c>
      <c r="K414" s="270">
        <v>1086</v>
      </c>
    </row>
    <row r="415" spans="1:11">
      <c r="A415">
        <v>778</v>
      </c>
      <c r="B415" s="472" t="s">
        <v>2083</v>
      </c>
      <c r="C415" t="s">
        <v>2084</v>
      </c>
      <c r="G415" s="270">
        <v>778</v>
      </c>
      <c r="H415" s="472" t="s">
        <v>2083</v>
      </c>
      <c r="I415" s="270" t="s">
        <v>2084</v>
      </c>
      <c r="J415" s="554">
        <v>218</v>
      </c>
      <c r="K415" s="270">
        <v>232</v>
      </c>
    </row>
    <row r="416" spans="1:11">
      <c r="A416">
        <v>780</v>
      </c>
      <c r="B416" s="472" t="s">
        <v>2085</v>
      </c>
      <c r="C416" t="s">
        <v>2086</v>
      </c>
      <c r="G416" s="270">
        <v>780</v>
      </c>
      <c r="H416" s="472" t="s">
        <v>2085</v>
      </c>
      <c r="I416" s="270" t="s">
        <v>2086</v>
      </c>
      <c r="J416" s="554">
        <v>572</v>
      </c>
      <c r="K416" s="270">
        <v>596</v>
      </c>
    </row>
    <row r="417" spans="1:11">
      <c r="A417">
        <v>801</v>
      </c>
      <c r="B417" s="472" t="s">
        <v>2087</v>
      </c>
      <c r="C417" t="s">
        <v>2088</v>
      </c>
      <c r="G417" s="270">
        <v>801</v>
      </c>
      <c r="H417" s="472" t="s">
        <v>2087</v>
      </c>
      <c r="I417" s="270" t="s">
        <v>2088</v>
      </c>
      <c r="J417" s="554">
        <v>287</v>
      </c>
      <c r="K417" s="270">
        <v>308</v>
      </c>
    </row>
    <row r="418" spans="1:11">
      <c r="A418">
        <v>805</v>
      </c>
      <c r="B418" s="472" t="s">
        <v>2089</v>
      </c>
      <c r="C418" t="s">
        <v>2090</v>
      </c>
      <c r="G418" s="270">
        <v>805</v>
      </c>
      <c r="H418" s="472" t="s">
        <v>2089</v>
      </c>
      <c r="I418" s="270" t="s">
        <v>2090</v>
      </c>
      <c r="J418" s="554">
        <v>130</v>
      </c>
      <c r="K418" s="270">
        <v>130</v>
      </c>
    </row>
    <row r="419" spans="1:11">
      <c r="A419">
        <v>806</v>
      </c>
      <c r="B419" s="472" t="s">
        <v>2091</v>
      </c>
      <c r="C419" t="s">
        <v>2092</v>
      </c>
      <c r="G419" s="270">
        <v>806</v>
      </c>
      <c r="H419" s="472" t="s">
        <v>2091</v>
      </c>
      <c r="I419" s="270" t="s">
        <v>2092</v>
      </c>
      <c r="J419" s="554">
        <v>239</v>
      </c>
      <c r="K419" s="270">
        <v>218</v>
      </c>
    </row>
    <row r="420" spans="1:11">
      <c r="A420">
        <v>810</v>
      </c>
      <c r="B420" s="472" t="s">
        <v>2093</v>
      </c>
      <c r="C420" t="s">
        <v>2094</v>
      </c>
      <c r="G420" s="270">
        <v>810</v>
      </c>
      <c r="H420" s="472" t="s">
        <v>2093</v>
      </c>
      <c r="I420" s="270" t="s">
        <v>2094</v>
      </c>
      <c r="J420" s="554">
        <v>226</v>
      </c>
      <c r="K420" s="270">
        <v>244</v>
      </c>
    </row>
    <row r="421" spans="1:11">
      <c r="A421">
        <v>815</v>
      </c>
      <c r="B421" s="472" t="s">
        <v>2095</v>
      </c>
      <c r="C421" t="s">
        <v>2096</v>
      </c>
      <c r="G421" s="270">
        <v>815</v>
      </c>
      <c r="H421" s="472" t="s">
        <v>2095</v>
      </c>
      <c r="I421" s="270" t="s">
        <v>2096</v>
      </c>
      <c r="J421" s="554">
        <v>166</v>
      </c>
      <c r="K421" s="270">
        <v>174</v>
      </c>
    </row>
    <row r="422" spans="1:11">
      <c r="A422">
        <v>817</v>
      </c>
      <c r="B422" s="472" t="s">
        <v>2097</v>
      </c>
      <c r="C422" t="s">
        <v>2098</v>
      </c>
      <c r="G422" s="270">
        <v>817</v>
      </c>
      <c r="H422" s="472" t="s">
        <v>2097</v>
      </c>
      <c r="I422" s="270" t="s">
        <v>2098</v>
      </c>
      <c r="J422" s="554">
        <v>282</v>
      </c>
      <c r="K422" s="270">
        <v>247</v>
      </c>
    </row>
    <row r="423" spans="1:11">
      <c r="A423">
        <v>818</v>
      </c>
      <c r="B423" s="472" t="s">
        <v>2099</v>
      </c>
      <c r="C423" t="s">
        <v>2100</v>
      </c>
      <c r="G423" s="270">
        <v>818</v>
      </c>
      <c r="H423" s="472" t="s">
        <v>2099</v>
      </c>
      <c r="I423" s="270" t="s">
        <v>2100</v>
      </c>
      <c r="J423" s="554">
        <v>169</v>
      </c>
      <c r="K423" s="270">
        <v>163</v>
      </c>
    </row>
    <row r="424" spans="1:11">
      <c r="A424">
        <v>821</v>
      </c>
      <c r="B424" s="472" t="s">
        <v>2101</v>
      </c>
      <c r="C424" t="s">
        <v>2102</v>
      </c>
      <c r="G424" s="270">
        <v>821</v>
      </c>
      <c r="H424" s="472" t="s">
        <v>2101</v>
      </c>
      <c r="I424" s="270" t="s">
        <v>2102</v>
      </c>
      <c r="J424" s="554">
        <v>159</v>
      </c>
      <c r="K424" s="270">
        <v>152</v>
      </c>
    </row>
    <row r="425" spans="1:11">
      <c r="A425">
        <v>823</v>
      </c>
      <c r="B425" s="472" t="s">
        <v>2103</v>
      </c>
      <c r="C425" t="s">
        <v>2104</v>
      </c>
      <c r="G425" s="270">
        <v>823</v>
      </c>
      <c r="H425" s="472" t="s">
        <v>2103</v>
      </c>
      <c r="I425" s="270" t="s">
        <v>2104</v>
      </c>
      <c r="J425" s="554">
        <v>268</v>
      </c>
      <c r="K425" s="270">
        <v>285</v>
      </c>
    </row>
    <row r="426" spans="1:11">
      <c r="A426">
        <v>825</v>
      </c>
      <c r="B426" s="472" t="s">
        <v>2105</v>
      </c>
      <c r="C426" t="s">
        <v>2106</v>
      </c>
      <c r="G426" s="270">
        <v>825</v>
      </c>
      <c r="H426" s="472" t="s">
        <v>2105</v>
      </c>
      <c r="I426" s="270" t="s">
        <v>2106</v>
      </c>
      <c r="J426" s="554">
        <v>217</v>
      </c>
      <c r="K426" s="270">
        <v>224</v>
      </c>
    </row>
    <row r="427" spans="1:11">
      <c r="A427">
        <v>828</v>
      </c>
      <c r="B427" s="472" t="s">
        <v>2107</v>
      </c>
      <c r="C427" t="s">
        <v>2108</v>
      </c>
      <c r="G427" s="270">
        <v>828</v>
      </c>
      <c r="H427" s="472" t="s">
        <v>2107</v>
      </c>
      <c r="I427" s="270" t="s">
        <v>2108</v>
      </c>
      <c r="J427" s="554">
        <v>398</v>
      </c>
      <c r="K427" s="270">
        <v>422</v>
      </c>
    </row>
    <row r="428" spans="1:11">
      <c r="A428">
        <v>829</v>
      </c>
      <c r="B428" s="472" t="s">
        <v>2109</v>
      </c>
      <c r="C428" t="s">
        <v>2110</v>
      </c>
      <c r="G428" s="270">
        <v>829</v>
      </c>
      <c r="H428" s="472" t="s">
        <v>2109</v>
      </c>
      <c r="I428" s="270" t="s">
        <v>2110</v>
      </c>
      <c r="J428" s="554">
        <v>324</v>
      </c>
      <c r="K428" s="270">
        <v>340</v>
      </c>
    </row>
    <row r="429" spans="1:11">
      <c r="A429">
        <v>830</v>
      </c>
      <c r="B429" s="472" t="s">
        <v>2111</v>
      </c>
      <c r="C429" t="s">
        <v>2112</v>
      </c>
      <c r="G429" s="270">
        <v>830</v>
      </c>
      <c r="H429" s="472" t="s">
        <v>2111</v>
      </c>
      <c r="I429" s="270" t="s">
        <v>2112</v>
      </c>
      <c r="J429" s="554">
        <v>280</v>
      </c>
      <c r="K429" s="270">
        <v>305</v>
      </c>
    </row>
    <row r="430" spans="1:11">
      <c r="A430">
        <v>832</v>
      </c>
      <c r="B430" s="472" t="s">
        <v>2113</v>
      </c>
      <c r="C430" t="s">
        <v>2114</v>
      </c>
      <c r="G430" s="270">
        <v>832</v>
      </c>
      <c r="H430" s="472" t="s">
        <v>2113</v>
      </c>
      <c r="I430" s="270" t="s">
        <v>2114</v>
      </c>
      <c r="J430" s="554">
        <v>204</v>
      </c>
      <c r="K430" s="270">
        <v>212</v>
      </c>
    </row>
    <row r="431" spans="1:11">
      <c r="A431">
        <v>851</v>
      </c>
      <c r="B431" s="472" t="s">
        <v>2115</v>
      </c>
      <c r="C431" t="s">
        <v>2116</v>
      </c>
      <c r="G431" s="270">
        <v>851</v>
      </c>
      <c r="H431" s="472" t="s">
        <v>2115</v>
      </c>
      <c r="I431" s="270" t="s">
        <v>2116</v>
      </c>
      <c r="J431" s="554">
        <v>79</v>
      </c>
      <c r="K431" s="270">
        <v>89</v>
      </c>
    </row>
    <row r="432" spans="1:11">
      <c r="A432">
        <v>852</v>
      </c>
      <c r="B432" s="472" t="s">
        <v>2117</v>
      </c>
      <c r="C432" t="s">
        <v>2118</v>
      </c>
      <c r="G432" s="270">
        <v>852</v>
      </c>
      <c r="H432" s="472" t="s">
        <v>2117</v>
      </c>
      <c r="I432" s="270" t="s">
        <v>2118</v>
      </c>
      <c r="J432" s="554">
        <v>244</v>
      </c>
      <c r="K432" s="270">
        <v>234</v>
      </c>
    </row>
    <row r="433" spans="1:11">
      <c r="A433">
        <v>853</v>
      </c>
      <c r="B433" s="472" t="s">
        <v>2119</v>
      </c>
      <c r="C433" t="s">
        <v>2120</v>
      </c>
      <c r="G433" s="270">
        <v>853</v>
      </c>
      <c r="H433" s="472" t="s">
        <v>2119</v>
      </c>
      <c r="I433" s="270" t="s">
        <v>2120</v>
      </c>
      <c r="J433" s="554">
        <v>327</v>
      </c>
      <c r="K433" s="270">
        <v>299</v>
      </c>
    </row>
    <row r="434" spans="1:11">
      <c r="A434">
        <v>855</v>
      </c>
      <c r="B434" s="472" t="s">
        <v>2121</v>
      </c>
      <c r="C434" t="s">
        <v>2122</v>
      </c>
      <c r="G434" s="270">
        <v>855</v>
      </c>
      <c r="H434" s="472" t="s">
        <v>2121</v>
      </c>
      <c r="I434" s="270" t="s">
        <v>2122</v>
      </c>
      <c r="J434" s="554">
        <v>131</v>
      </c>
      <c r="K434" s="270">
        <v>131</v>
      </c>
    </row>
    <row r="435" spans="1:11">
      <c r="A435">
        <v>860</v>
      </c>
      <c r="B435" s="472" t="s">
        <v>2123</v>
      </c>
      <c r="C435" t="s">
        <v>2124</v>
      </c>
      <c r="G435" s="270">
        <v>860</v>
      </c>
      <c r="H435" s="472" t="s">
        <v>2123</v>
      </c>
      <c r="I435" s="270" t="s">
        <v>2124</v>
      </c>
      <c r="J435" s="554">
        <v>164</v>
      </c>
      <c r="K435" s="270">
        <v>172</v>
      </c>
    </row>
    <row r="436" spans="1:11">
      <c r="A436">
        <v>871</v>
      </c>
      <c r="B436" s="472" t="s">
        <v>2125</v>
      </c>
      <c r="C436" t="s">
        <v>2126</v>
      </c>
      <c r="G436" s="270">
        <v>871</v>
      </c>
      <c r="H436" s="472" t="s">
        <v>2125</v>
      </c>
      <c r="I436" s="270" t="s">
        <v>2126</v>
      </c>
      <c r="J436" s="554">
        <v>389</v>
      </c>
      <c r="K436" s="270">
        <v>341</v>
      </c>
    </row>
    <row r="437" spans="1:11">
      <c r="A437">
        <v>872</v>
      </c>
      <c r="B437" s="472" t="s">
        <v>2127</v>
      </c>
      <c r="C437" t="s">
        <v>2128</v>
      </c>
      <c r="G437" s="270">
        <v>872</v>
      </c>
      <c r="H437" s="472" t="s">
        <v>2127</v>
      </c>
      <c r="I437" s="270" t="s">
        <v>2128</v>
      </c>
      <c r="J437" s="554">
        <v>211</v>
      </c>
      <c r="K437" s="270">
        <v>203</v>
      </c>
    </row>
    <row r="438" spans="1:11">
      <c r="A438">
        <v>873</v>
      </c>
      <c r="B438" s="472" t="s">
        <v>2129</v>
      </c>
      <c r="C438" t="s">
        <v>2130</v>
      </c>
      <c r="G438" s="270">
        <v>873</v>
      </c>
      <c r="H438" s="472" t="s">
        <v>2129</v>
      </c>
      <c r="I438" s="270" t="s">
        <v>2130</v>
      </c>
      <c r="J438" s="554">
        <v>175</v>
      </c>
      <c r="K438" s="270">
        <v>185</v>
      </c>
    </row>
    <row r="439" spans="1:11">
      <c r="A439">
        <v>876</v>
      </c>
      <c r="B439" s="472" t="s">
        <v>2131</v>
      </c>
      <c r="C439" t="s">
        <v>2132</v>
      </c>
      <c r="G439" s="270">
        <v>876</v>
      </c>
      <c r="H439" s="472" t="s">
        <v>2131</v>
      </c>
      <c r="I439" s="270" t="s">
        <v>2132</v>
      </c>
      <c r="J439" s="554">
        <v>161</v>
      </c>
      <c r="K439" s="270">
        <v>165</v>
      </c>
    </row>
    <row r="440" spans="1:11">
      <c r="A440">
        <v>878</v>
      </c>
      <c r="B440" s="472" t="s">
        <v>2133</v>
      </c>
      <c r="C440" t="s">
        <v>2134</v>
      </c>
      <c r="G440" s="270">
        <v>878</v>
      </c>
      <c r="H440" s="472" t="s">
        <v>2133</v>
      </c>
      <c r="I440" s="270" t="s">
        <v>2134</v>
      </c>
      <c r="J440" s="554">
        <v>301</v>
      </c>
      <c r="K440" s="270">
        <v>301</v>
      </c>
    </row>
    <row r="441" spans="1:11">
      <c r="A441">
        <v>879</v>
      </c>
      <c r="B441" s="472" t="s">
        <v>2135</v>
      </c>
      <c r="C441" t="s">
        <v>2136</v>
      </c>
      <c r="G441" s="270">
        <v>879</v>
      </c>
      <c r="H441" s="472" t="s">
        <v>2135</v>
      </c>
      <c r="I441" s="270" t="s">
        <v>2136</v>
      </c>
      <c r="J441" s="554">
        <v>182</v>
      </c>
      <c r="K441" s="270">
        <v>164</v>
      </c>
    </row>
    <row r="442" spans="1:11">
      <c r="A442">
        <v>885</v>
      </c>
      <c r="B442" s="472" t="s">
        <v>2137</v>
      </c>
      <c r="C442" t="s">
        <v>2138</v>
      </c>
      <c r="G442" s="270">
        <v>885</v>
      </c>
      <c r="H442" s="472" t="s">
        <v>2137</v>
      </c>
      <c r="I442" s="270" t="s">
        <v>2138</v>
      </c>
      <c r="J442" s="554">
        <v>238</v>
      </c>
      <c r="K442" s="270">
        <v>270</v>
      </c>
    </row>
    <row r="443" spans="1:11">
      <c r="A443">
        <v>910</v>
      </c>
      <c r="B443" s="472" t="s">
        <v>2139</v>
      </c>
      <c r="C443" t="s">
        <v>2140</v>
      </c>
      <c r="G443" s="270">
        <v>910</v>
      </c>
      <c r="H443" s="472" t="s">
        <v>2139</v>
      </c>
      <c r="I443" s="270" t="s">
        <v>2140</v>
      </c>
      <c r="J443" s="554">
        <v>66</v>
      </c>
      <c r="K443" s="270">
        <v>59</v>
      </c>
    </row>
    <row r="444" spans="1:11">
      <c r="A444">
        <v>915</v>
      </c>
      <c r="B444" s="472" t="s">
        <v>2141</v>
      </c>
      <c r="C444" t="s">
        <v>2142</v>
      </c>
      <c r="G444" s="270">
        <v>915</v>
      </c>
      <c r="H444" s="472" t="s">
        <v>2141</v>
      </c>
      <c r="I444" s="270" t="s">
        <v>2142</v>
      </c>
      <c r="J444" s="554">
        <v>137</v>
      </c>
      <c r="K444" s="270">
        <v>111</v>
      </c>
    </row>
  </sheetData>
  <mergeCells count="1">
    <mergeCell ref="B4:C4"/>
  </mergeCells>
  <hyperlinks>
    <hyperlink ref="A1" r:id="rId1" xr:uid="{00000000-0004-0000-0A00-000000000000}"/>
    <hyperlink ref="H1" r:id="rId2" xr:uid="{00000000-0004-0000-0A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tabColor theme="7"/>
  </sheetPr>
  <dimension ref="B1:R3021"/>
  <sheetViews>
    <sheetView topLeftCell="B35" zoomScale="80" zoomScaleNormal="80" workbookViewId="0">
      <selection activeCell="G45" sqref="G45"/>
    </sheetView>
  </sheetViews>
  <sheetFormatPr defaultColWidth="9.21875" defaultRowHeight="15"/>
  <cols>
    <col min="1" max="1" width="2" style="3" customWidth="1"/>
    <col min="2" max="2" width="22.21875" style="3" customWidth="1"/>
    <col min="3" max="3" width="60.6640625" style="3" customWidth="1"/>
    <col min="4" max="4" width="4.77734375" style="3" hidden="1" customWidth="1"/>
    <col min="5" max="5" width="18.44140625" style="3" customWidth="1"/>
    <col min="6" max="6" width="2.109375" style="3" hidden="1" customWidth="1"/>
    <col min="7" max="7" width="16.6640625" style="3" customWidth="1"/>
    <col min="8" max="8" width="4.21875" style="3" customWidth="1"/>
    <col min="9" max="9" width="3.77734375" style="3" customWidth="1"/>
    <col min="10" max="10" width="9.21875" style="3"/>
    <col min="11" max="11" width="14.21875" style="3" customWidth="1"/>
    <col min="12" max="12" width="36.109375" style="3" customWidth="1"/>
    <col min="13" max="13" width="9.5546875" style="3" customWidth="1"/>
    <col min="14" max="18" width="9.21875" style="3"/>
    <col min="19" max="19" width="4" style="3" customWidth="1"/>
    <col min="20" max="16384" width="9.21875" style="3"/>
  </cols>
  <sheetData>
    <row r="1" spans="2:18" ht="27" customHeight="1" thickBot="1">
      <c r="C1" s="227" t="s">
        <v>2143</v>
      </c>
      <c r="D1" s="227"/>
    </row>
    <row r="2" spans="2:18" ht="15" customHeight="1">
      <c r="C2" s="784" t="s">
        <v>2144</v>
      </c>
      <c r="D2" s="785"/>
      <c r="E2" s="786"/>
      <c r="F2" s="786"/>
      <c r="G2" s="786"/>
      <c r="H2" s="786"/>
      <c r="I2" s="786"/>
      <c r="J2" s="786"/>
      <c r="K2" s="786"/>
      <c r="L2" s="786"/>
      <c r="M2" s="786"/>
      <c r="N2" s="786"/>
      <c r="O2" s="786"/>
      <c r="P2" s="786"/>
      <c r="Q2" s="786"/>
      <c r="R2" s="787"/>
    </row>
    <row r="3" spans="2:18" ht="15" customHeight="1">
      <c r="C3" s="788"/>
      <c r="D3" s="789"/>
      <c r="E3" s="789"/>
      <c r="F3" s="789"/>
      <c r="G3" s="789"/>
      <c r="H3" s="789"/>
      <c r="I3" s="789"/>
      <c r="J3" s="789"/>
      <c r="K3" s="789"/>
      <c r="L3" s="789"/>
      <c r="M3" s="789"/>
      <c r="N3" s="789"/>
      <c r="O3" s="789"/>
      <c r="P3" s="789"/>
      <c r="Q3" s="789"/>
      <c r="R3" s="790"/>
    </row>
    <row r="4" spans="2:18" ht="15" customHeight="1">
      <c r="C4" s="788"/>
      <c r="D4" s="789"/>
      <c r="E4" s="789"/>
      <c r="F4" s="789"/>
      <c r="G4" s="789"/>
      <c r="H4" s="789"/>
      <c r="I4" s="789"/>
      <c r="J4" s="789"/>
      <c r="K4" s="789"/>
      <c r="L4" s="789"/>
      <c r="M4" s="789"/>
      <c r="N4" s="789"/>
      <c r="O4" s="789"/>
      <c r="P4" s="789"/>
      <c r="Q4" s="789"/>
      <c r="R4" s="790"/>
    </row>
    <row r="5" spans="2:18" ht="63.75" customHeight="1">
      <c r="C5" s="788"/>
      <c r="D5" s="789"/>
      <c r="E5" s="789"/>
      <c r="F5" s="789"/>
      <c r="G5" s="789"/>
      <c r="H5" s="789"/>
      <c r="I5" s="789"/>
      <c r="J5" s="789"/>
      <c r="K5" s="789"/>
      <c r="L5" s="789"/>
      <c r="M5" s="789"/>
      <c r="N5" s="789"/>
      <c r="O5" s="789"/>
      <c r="P5" s="789"/>
      <c r="Q5" s="789"/>
      <c r="R5" s="790"/>
    </row>
    <row r="6" spans="2:18" ht="15" customHeight="1">
      <c r="C6" s="788"/>
      <c r="D6" s="789"/>
      <c r="E6" s="789"/>
      <c r="F6" s="789"/>
      <c r="G6" s="789"/>
      <c r="H6" s="789"/>
      <c r="I6" s="789"/>
      <c r="J6" s="789"/>
      <c r="K6" s="789"/>
      <c r="L6" s="789"/>
      <c r="M6" s="789"/>
      <c r="N6" s="789"/>
      <c r="O6" s="789"/>
      <c r="P6" s="789"/>
      <c r="Q6" s="789"/>
      <c r="R6" s="790"/>
    </row>
    <row r="7" spans="2:18" ht="15" customHeight="1">
      <c r="C7" s="788"/>
      <c r="D7" s="789"/>
      <c r="E7" s="789"/>
      <c r="F7" s="789"/>
      <c r="G7" s="789"/>
      <c r="H7" s="789"/>
      <c r="I7" s="789"/>
      <c r="J7" s="789"/>
      <c r="K7" s="789"/>
      <c r="L7" s="789"/>
      <c r="M7" s="789"/>
      <c r="N7" s="789"/>
      <c r="O7" s="789"/>
      <c r="P7" s="789"/>
      <c r="Q7" s="789"/>
      <c r="R7" s="790"/>
    </row>
    <row r="8" spans="2:18" ht="15" customHeight="1">
      <c r="C8" s="788"/>
      <c r="D8" s="789"/>
      <c r="E8" s="789"/>
      <c r="F8" s="789"/>
      <c r="G8" s="789"/>
      <c r="H8" s="789"/>
      <c r="I8" s="789"/>
      <c r="J8" s="789"/>
      <c r="K8" s="789"/>
      <c r="L8" s="789"/>
      <c r="M8" s="789"/>
      <c r="N8" s="789"/>
      <c r="O8" s="789"/>
      <c r="P8" s="789"/>
      <c r="Q8" s="789"/>
      <c r="R8" s="790"/>
    </row>
    <row r="9" spans="2:18" ht="15" customHeight="1">
      <c r="C9" s="788"/>
      <c r="D9" s="789"/>
      <c r="E9" s="789"/>
      <c r="F9" s="789"/>
      <c r="G9" s="789"/>
      <c r="H9" s="789"/>
      <c r="I9" s="789"/>
      <c r="J9" s="789"/>
      <c r="K9" s="789"/>
      <c r="L9" s="789"/>
      <c r="M9" s="789"/>
      <c r="N9" s="789"/>
      <c r="O9" s="789"/>
      <c r="P9" s="789"/>
      <c r="Q9" s="789"/>
      <c r="R9" s="790"/>
    </row>
    <row r="10" spans="2:18" ht="15" customHeight="1">
      <c r="C10" s="788"/>
      <c r="D10" s="789"/>
      <c r="E10" s="789"/>
      <c r="F10" s="789"/>
      <c r="G10" s="789"/>
      <c r="H10" s="789"/>
      <c r="I10" s="789"/>
      <c r="J10" s="789"/>
      <c r="K10" s="789"/>
      <c r="L10" s="789"/>
      <c r="M10" s="789"/>
      <c r="N10" s="789"/>
      <c r="O10" s="789"/>
      <c r="P10" s="789"/>
      <c r="Q10" s="789"/>
      <c r="R10" s="790"/>
    </row>
    <row r="11" spans="2:18" ht="19.5" customHeight="1">
      <c r="C11" s="788"/>
      <c r="D11" s="789"/>
      <c r="E11" s="789"/>
      <c r="F11" s="789"/>
      <c r="G11" s="789"/>
      <c r="H11" s="789"/>
      <c r="I11" s="789"/>
      <c r="J11" s="789"/>
      <c r="K11" s="789"/>
      <c r="L11" s="789"/>
      <c r="M11" s="789"/>
      <c r="N11" s="789"/>
      <c r="O11" s="789"/>
      <c r="P11" s="789"/>
      <c r="Q11" s="789"/>
      <c r="R11" s="790"/>
    </row>
    <row r="12" spans="2:18" ht="15" customHeight="1">
      <c r="C12" s="788"/>
      <c r="D12" s="789"/>
      <c r="E12" s="789"/>
      <c r="F12" s="789"/>
      <c r="G12" s="789"/>
      <c r="H12" s="789"/>
      <c r="I12" s="789"/>
      <c r="J12" s="789"/>
      <c r="K12" s="789"/>
      <c r="L12" s="789"/>
      <c r="M12" s="789"/>
      <c r="N12" s="789"/>
      <c r="O12" s="789"/>
      <c r="P12" s="789"/>
      <c r="Q12" s="789"/>
      <c r="R12" s="790"/>
    </row>
    <row r="13" spans="2:18" ht="15.75" customHeight="1">
      <c r="C13" s="788"/>
      <c r="D13" s="789"/>
      <c r="E13" s="789"/>
      <c r="F13" s="789"/>
      <c r="G13" s="789"/>
      <c r="H13" s="789"/>
      <c r="I13" s="789"/>
      <c r="J13" s="789"/>
      <c r="K13" s="789"/>
      <c r="L13" s="789"/>
      <c r="M13" s="789"/>
      <c r="N13" s="789"/>
      <c r="O13" s="789"/>
      <c r="P13" s="789"/>
      <c r="Q13" s="789"/>
      <c r="R13" s="790"/>
    </row>
    <row r="14" spans="2:18" ht="15" customHeight="1">
      <c r="C14" s="788"/>
      <c r="D14" s="789"/>
      <c r="E14" s="789"/>
      <c r="F14" s="789"/>
      <c r="G14" s="789"/>
      <c r="H14" s="789"/>
      <c r="I14" s="789"/>
      <c r="J14" s="789"/>
      <c r="K14" s="789"/>
      <c r="L14" s="789"/>
      <c r="M14" s="789"/>
      <c r="N14" s="789"/>
      <c r="O14" s="789"/>
      <c r="P14" s="789"/>
      <c r="Q14" s="789"/>
      <c r="R14" s="790"/>
    </row>
    <row r="15" spans="2:18" ht="15" customHeight="1">
      <c r="C15" s="788"/>
      <c r="D15" s="789"/>
      <c r="E15" s="789"/>
      <c r="F15" s="789"/>
      <c r="G15" s="789"/>
      <c r="H15" s="789"/>
      <c r="I15" s="789"/>
      <c r="J15" s="789"/>
      <c r="K15" s="789"/>
      <c r="L15" s="789"/>
      <c r="M15" s="789"/>
      <c r="N15" s="789"/>
      <c r="O15" s="789"/>
      <c r="P15" s="789"/>
      <c r="Q15" s="789"/>
      <c r="R15" s="790"/>
    </row>
    <row r="16" spans="2:18" ht="15" customHeight="1">
      <c r="B16" s="265" t="s">
        <v>2145</v>
      </c>
      <c r="C16" s="789"/>
      <c r="D16" s="789"/>
      <c r="E16" s="789"/>
      <c r="F16" s="789"/>
      <c r="G16" s="789"/>
      <c r="H16" s="789"/>
      <c r="I16" s="789"/>
      <c r="J16" s="789"/>
      <c r="K16" s="789"/>
      <c r="L16" s="789"/>
      <c r="M16" s="789"/>
      <c r="N16" s="789"/>
      <c r="O16" s="789"/>
      <c r="P16" s="789"/>
      <c r="Q16" s="789"/>
      <c r="R16" s="790"/>
    </row>
    <row r="17" spans="2:18" ht="15" customHeight="1">
      <c r="B17" s="266" t="s">
        <v>2146</v>
      </c>
      <c r="C17" s="789"/>
      <c r="D17" s="789"/>
      <c r="E17" s="789"/>
      <c r="F17" s="789"/>
      <c r="G17" s="789"/>
      <c r="H17" s="789"/>
      <c r="I17" s="789"/>
      <c r="J17" s="789"/>
      <c r="K17" s="789"/>
      <c r="L17" s="789"/>
      <c r="M17" s="789"/>
      <c r="N17" s="789"/>
      <c r="O17" s="789"/>
      <c r="P17" s="789"/>
      <c r="Q17" s="789"/>
      <c r="R17" s="790"/>
    </row>
    <row r="18" spans="2:18" ht="15" customHeight="1">
      <c r="B18" s="267" t="s">
        <v>2147</v>
      </c>
      <c r="C18" s="789"/>
      <c r="D18" s="789"/>
      <c r="E18" s="789"/>
      <c r="F18" s="789"/>
      <c r="G18" s="789"/>
      <c r="H18" s="789"/>
      <c r="I18" s="789"/>
      <c r="J18" s="789"/>
      <c r="K18" s="789"/>
      <c r="L18" s="789"/>
      <c r="M18" s="789"/>
      <c r="N18" s="789"/>
      <c r="O18" s="789"/>
      <c r="P18" s="789"/>
      <c r="Q18" s="789"/>
      <c r="R18" s="790"/>
    </row>
    <row r="19" spans="2:18" ht="15" customHeight="1">
      <c r="B19" s="268"/>
      <c r="C19" s="789"/>
      <c r="D19" s="789"/>
      <c r="E19" s="789"/>
      <c r="F19" s="789"/>
      <c r="G19" s="789"/>
      <c r="H19" s="789"/>
      <c r="I19" s="789"/>
      <c r="J19" s="789"/>
      <c r="K19" s="789"/>
      <c r="L19" s="789"/>
      <c r="M19" s="789"/>
      <c r="N19" s="789"/>
      <c r="O19" s="789"/>
      <c r="P19" s="789"/>
      <c r="Q19" s="789"/>
      <c r="R19" s="790"/>
    </row>
    <row r="20" spans="2:18" ht="15" customHeight="1">
      <c r="B20" s="268"/>
      <c r="C20" s="789"/>
      <c r="D20" s="789"/>
      <c r="E20" s="789"/>
      <c r="F20" s="789"/>
      <c r="G20" s="789"/>
      <c r="H20" s="789"/>
      <c r="I20" s="789"/>
      <c r="J20" s="789"/>
      <c r="K20" s="789"/>
      <c r="L20" s="789"/>
      <c r="M20" s="789"/>
      <c r="N20" s="789"/>
      <c r="O20" s="789"/>
      <c r="P20" s="789"/>
      <c r="Q20" s="789"/>
      <c r="R20" s="790"/>
    </row>
    <row r="21" spans="2:18" ht="30.75" customHeight="1">
      <c r="B21" s="268"/>
      <c r="C21" s="789"/>
      <c r="D21" s="789"/>
      <c r="E21" s="789"/>
      <c r="F21" s="789"/>
      <c r="G21" s="789"/>
      <c r="H21" s="789"/>
      <c r="I21" s="789"/>
      <c r="J21" s="789"/>
      <c r="K21" s="789"/>
      <c r="L21" s="789"/>
      <c r="M21" s="789"/>
      <c r="N21" s="789"/>
      <c r="O21" s="789"/>
      <c r="P21" s="789"/>
      <c r="Q21" s="789"/>
      <c r="R21" s="790"/>
    </row>
    <row r="22" spans="2:18" ht="15" customHeight="1">
      <c r="B22" s="268"/>
      <c r="C22" s="789"/>
      <c r="D22" s="789"/>
      <c r="E22" s="789"/>
      <c r="F22" s="789"/>
      <c r="G22" s="789"/>
      <c r="H22" s="789"/>
      <c r="I22" s="789"/>
      <c r="J22" s="789"/>
      <c r="K22" s="789"/>
      <c r="L22" s="789"/>
      <c r="M22" s="789"/>
      <c r="N22" s="789"/>
      <c r="O22" s="789"/>
      <c r="P22" s="789"/>
      <c r="Q22" s="789"/>
      <c r="R22" s="790"/>
    </row>
    <row r="23" spans="2:18" ht="15" customHeight="1">
      <c r="B23" s="268"/>
      <c r="C23" s="789"/>
      <c r="D23" s="789"/>
      <c r="E23" s="789"/>
      <c r="F23" s="789"/>
      <c r="G23" s="789"/>
      <c r="H23" s="789"/>
      <c r="I23" s="789"/>
      <c r="J23" s="789"/>
      <c r="K23" s="789"/>
      <c r="L23" s="789"/>
      <c r="M23" s="789"/>
      <c r="N23" s="789"/>
      <c r="O23" s="789"/>
      <c r="P23" s="789"/>
      <c r="Q23" s="789"/>
      <c r="R23" s="790"/>
    </row>
    <row r="24" spans="2:18" ht="15" customHeight="1">
      <c r="B24" s="265" t="s">
        <v>2145</v>
      </c>
      <c r="C24" s="789"/>
      <c r="D24" s="789"/>
      <c r="E24" s="789"/>
      <c r="F24" s="789"/>
      <c r="G24" s="789"/>
      <c r="H24" s="789"/>
      <c r="I24" s="789"/>
      <c r="J24" s="789"/>
      <c r="K24" s="789"/>
      <c r="L24" s="789"/>
      <c r="M24" s="789"/>
      <c r="N24" s="789"/>
      <c r="O24" s="789"/>
      <c r="P24" s="789"/>
      <c r="Q24" s="789"/>
      <c r="R24" s="790"/>
    </row>
    <row r="25" spans="2:18" ht="15.75" customHeight="1">
      <c r="B25" s="267" t="s">
        <v>2148</v>
      </c>
      <c r="C25" s="789"/>
      <c r="D25" s="789"/>
      <c r="E25" s="789"/>
      <c r="F25" s="789"/>
      <c r="G25" s="789"/>
      <c r="H25" s="789"/>
      <c r="I25" s="789"/>
      <c r="J25" s="789"/>
      <c r="K25" s="789"/>
      <c r="L25" s="789"/>
      <c r="M25" s="789"/>
      <c r="N25" s="789"/>
      <c r="O25" s="789"/>
      <c r="P25" s="789"/>
      <c r="Q25" s="789"/>
      <c r="R25" s="790"/>
    </row>
    <row r="26" spans="2:18">
      <c r="B26" s="267" t="s">
        <v>2149</v>
      </c>
      <c r="C26" s="789"/>
      <c r="D26" s="789"/>
      <c r="E26" s="789"/>
      <c r="F26" s="789"/>
      <c r="G26" s="789"/>
      <c r="H26" s="789"/>
      <c r="I26" s="789"/>
      <c r="J26" s="789"/>
      <c r="K26" s="789"/>
      <c r="L26" s="789"/>
      <c r="M26" s="789"/>
      <c r="N26" s="789"/>
      <c r="O26" s="789"/>
      <c r="P26" s="789"/>
      <c r="Q26" s="789"/>
      <c r="R26" s="790"/>
    </row>
    <row r="27" spans="2:18" ht="15.75" customHeight="1" thickBot="1">
      <c r="B27" s="267" t="s">
        <v>2150</v>
      </c>
      <c r="C27" s="791"/>
      <c r="D27" s="791"/>
      <c r="E27" s="791"/>
      <c r="F27" s="791"/>
      <c r="G27" s="791"/>
      <c r="H27" s="791"/>
      <c r="I27" s="791"/>
      <c r="J27" s="791"/>
      <c r="K27" s="791"/>
      <c r="L27" s="791"/>
      <c r="M27" s="791"/>
      <c r="N27" s="791"/>
      <c r="O27" s="791"/>
      <c r="P27" s="791"/>
      <c r="Q27" s="791"/>
      <c r="R27" s="792"/>
    </row>
    <row r="28" spans="2:18" ht="16.149999999999999" thickBot="1">
      <c r="B28" s="268"/>
      <c r="C28" s="229"/>
      <c r="D28" s="229"/>
      <c r="E28" s="229"/>
      <c r="F28" s="229"/>
      <c r="G28" s="229"/>
      <c r="H28" s="229"/>
      <c r="I28" s="229"/>
      <c r="J28" s="229"/>
      <c r="K28" s="229"/>
      <c r="L28" s="229"/>
      <c r="M28" s="229"/>
      <c r="N28" s="229"/>
      <c r="O28" s="229"/>
      <c r="P28" s="229"/>
      <c r="Q28" s="229"/>
      <c r="R28" s="229"/>
    </row>
    <row r="29" spans="2:18" ht="94.5" customHeight="1">
      <c r="B29" s="268"/>
      <c r="C29" s="793" t="s">
        <v>2151</v>
      </c>
      <c r="D29" s="793"/>
      <c r="E29" s="793"/>
      <c r="F29" s="793"/>
      <c r="G29" s="793"/>
      <c r="H29" s="793"/>
      <c r="I29" s="793"/>
      <c r="J29" s="793"/>
      <c r="K29" s="793"/>
      <c r="L29" s="793"/>
      <c r="M29" s="793"/>
      <c r="N29" s="793"/>
      <c r="O29" s="793"/>
      <c r="P29" s="793"/>
      <c r="Q29" s="793"/>
      <c r="R29" s="794"/>
    </row>
    <row r="30" spans="2:18" ht="90.75" customHeight="1">
      <c r="B30" s="268"/>
      <c r="C30" s="795"/>
      <c r="D30" s="795"/>
      <c r="E30" s="795"/>
      <c r="F30" s="795"/>
      <c r="G30" s="795"/>
      <c r="H30" s="795"/>
      <c r="I30" s="795"/>
      <c r="J30" s="795"/>
      <c r="K30" s="795"/>
      <c r="L30" s="795"/>
      <c r="M30" s="795"/>
      <c r="N30" s="795"/>
      <c r="O30" s="795"/>
      <c r="P30" s="795"/>
      <c r="Q30" s="795"/>
      <c r="R30" s="796"/>
    </row>
    <row r="31" spans="2:18" ht="197.65" customHeight="1" thickBot="1">
      <c r="B31" s="269" t="s">
        <v>2145</v>
      </c>
      <c r="C31" s="797"/>
      <c r="D31" s="797"/>
      <c r="E31" s="797"/>
      <c r="F31" s="797"/>
      <c r="G31" s="797"/>
      <c r="H31" s="797"/>
      <c r="I31" s="797"/>
      <c r="J31" s="797"/>
      <c r="K31" s="797"/>
      <c r="L31" s="797"/>
      <c r="M31" s="797"/>
      <c r="N31" s="797"/>
      <c r="O31" s="797"/>
      <c r="P31" s="797"/>
      <c r="Q31" s="797"/>
      <c r="R31" s="798"/>
    </row>
    <row r="32" spans="2:18" ht="14.25" customHeight="1">
      <c r="B32" s="576" t="s">
        <v>2152</v>
      </c>
      <c r="C32" s="577"/>
      <c r="D32" s="229"/>
      <c r="E32" s="229"/>
      <c r="F32" s="229"/>
      <c r="G32" s="229"/>
      <c r="H32" s="229"/>
      <c r="I32" s="229"/>
      <c r="J32" s="229"/>
      <c r="K32" s="229"/>
      <c r="L32" s="229"/>
      <c r="M32" s="229"/>
      <c r="N32" s="229"/>
      <c r="O32" s="229"/>
      <c r="P32" s="229"/>
      <c r="Q32" s="229"/>
      <c r="R32" s="229"/>
    </row>
    <row r="34" spans="2:16" ht="38.25" customHeight="1" thickBot="1">
      <c r="B34" s="231"/>
      <c r="C34" s="799" t="s">
        <v>2153</v>
      </c>
      <c r="D34" s="800"/>
      <c r="E34" s="230" t="s">
        <v>2154</v>
      </c>
      <c r="F34" s="229"/>
      <c r="G34" s="801" t="s">
        <v>2155</v>
      </c>
      <c r="H34" s="799"/>
      <c r="I34" s="799"/>
      <c r="J34" s="799"/>
      <c r="K34" s="800"/>
      <c r="L34" s="802" t="s">
        <v>2156</v>
      </c>
      <c r="M34" s="803"/>
      <c r="N34" s="229"/>
      <c r="O34" s="229"/>
      <c r="P34" s="229"/>
    </row>
    <row r="35" spans="2:16" ht="15.6" thickBot="1">
      <c r="B35" s="234"/>
    </row>
    <row r="36" spans="2:16" ht="19.5" customHeight="1" thickTop="1" thickBot="1">
      <c r="C36" s="777" t="s">
        <v>2157</v>
      </c>
      <c r="D36" s="778"/>
      <c r="E36" s="778"/>
      <c r="F36" s="778"/>
      <c r="G36" s="779"/>
      <c r="H36" s="228"/>
    </row>
    <row r="37" spans="2:16" ht="16.5" hidden="1" customHeight="1">
      <c r="G37" s="232"/>
      <c r="J37" s="780"/>
      <c r="K37" s="780"/>
      <c r="L37" s="780"/>
      <c r="M37" s="780"/>
      <c r="N37" s="780"/>
      <c r="O37" s="780"/>
      <c r="P37" s="780"/>
    </row>
    <row r="38" spans="2:16" ht="11.25" customHeight="1" thickTop="1" thickBot="1">
      <c r="G38" s="233"/>
      <c r="J38" s="468"/>
      <c r="K38" s="468"/>
      <c r="L38" s="468"/>
      <c r="M38" s="468"/>
      <c r="N38" s="468"/>
      <c r="O38" s="468"/>
      <c r="P38" s="468"/>
    </row>
    <row r="39" spans="2:16" ht="36" customHeight="1" thickTop="1" thickBot="1">
      <c r="C39" s="603"/>
      <c r="D39" s="457"/>
      <c r="E39" s="235" t="s">
        <v>2158</v>
      </c>
      <c r="F39" s="236"/>
      <c r="G39" s="235" t="s">
        <v>2159</v>
      </c>
      <c r="H39" s="248"/>
      <c r="I39" s="781" t="s">
        <v>2160</v>
      </c>
      <c r="J39" s="782"/>
      <c r="K39" s="783"/>
      <c r="L39" s="259" t="s">
        <v>2161</v>
      </c>
      <c r="M39" s="248"/>
      <c r="N39" s="248"/>
      <c r="O39" s="248"/>
    </row>
    <row r="40" spans="2:16" ht="30.75" customHeight="1" thickTop="1" thickBot="1">
      <c r="B40" s="234"/>
      <c r="D40" s="234"/>
      <c r="E40" s="255"/>
      <c r="F40" s="236"/>
      <c r="G40" s="255"/>
      <c r="H40" s="248"/>
      <c r="I40" s="456"/>
      <c r="J40" s="255"/>
      <c r="K40" s="457"/>
      <c r="L40" s="254"/>
      <c r="M40" s="248"/>
      <c r="N40" s="248"/>
      <c r="O40" s="248"/>
    </row>
    <row r="41" spans="2:16" ht="35.25" customHeight="1" thickBot="1">
      <c r="B41" s="234"/>
      <c r="D41" s="585"/>
      <c r="E41" s="469" t="s">
        <v>2162</v>
      </c>
      <c r="F41" s="236"/>
      <c r="G41" s="469" t="s">
        <v>2163</v>
      </c>
      <c r="H41" s="236"/>
      <c r="I41" s="456"/>
      <c r="J41" s="255"/>
      <c r="K41" s="457"/>
      <c r="L41" s="254"/>
      <c r="M41" s="248"/>
      <c r="N41" s="248"/>
      <c r="O41" s="248"/>
    </row>
    <row r="42" spans="2:16" ht="11.25" customHeight="1">
      <c r="E42" s="587"/>
      <c r="F42" s="588"/>
      <c r="G42" s="587"/>
      <c r="H42" s="248"/>
      <c r="I42" s="458"/>
      <c r="J42" s="248"/>
      <c r="K42" s="459"/>
      <c r="L42" s="248"/>
      <c r="M42" s="248"/>
      <c r="N42" s="248"/>
      <c r="O42" s="248"/>
    </row>
    <row r="43" spans="2:16" ht="15.75" customHeight="1" thickBot="1">
      <c r="B43" s="237"/>
      <c r="H43" s="238"/>
      <c r="I43" s="460"/>
      <c r="J43" s="238"/>
      <c r="K43" s="461"/>
      <c r="L43" s="238"/>
      <c r="M43" s="238"/>
      <c r="N43" s="238"/>
      <c r="O43" s="238"/>
    </row>
    <row r="44" spans="2:16" ht="20.25" customHeight="1" thickTop="1" thickBot="1">
      <c r="B44" s="264" t="s">
        <v>2164</v>
      </c>
      <c r="C44" s="239" t="s">
        <v>2165</v>
      </c>
      <c r="D44" s="586"/>
      <c r="E44" s="470">
        <v>13973128</v>
      </c>
      <c r="G44" s="470">
        <v>10279504</v>
      </c>
      <c r="H44" s="240"/>
      <c r="I44" s="762" t="str">
        <f ca="1">IF((E44+G44)='eoy24'!O1327-'eoy24'!O1326,"Ties to EOYR","Please review, does not tie to EOYR")</f>
        <v>Please review, does not tie to EOYR</v>
      </c>
      <c r="J44" s="763"/>
      <c r="K44" s="764"/>
      <c r="L44" s="3" t="s">
        <v>100</v>
      </c>
    </row>
    <row r="45" spans="2:16" ht="13.5" customHeight="1" thickTop="1" thickBot="1">
      <c r="B45" s="264"/>
      <c r="D45" s="241"/>
      <c r="E45" s="241"/>
      <c r="F45" s="241"/>
      <c r="G45" s="242"/>
      <c r="H45" s="238"/>
      <c r="I45" s="460"/>
      <c r="J45" s="238"/>
      <c r="K45" s="461"/>
      <c r="L45" s="238"/>
      <c r="M45" s="238"/>
      <c r="N45" s="238"/>
    </row>
    <row r="46" spans="2:16" ht="20.25" customHeight="1" thickTop="1" thickBot="1">
      <c r="B46" s="264" t="s">
        <v>2166</v>
      </c>
      <c r="C46" s="239" t="s">
        <v>2167</v>
      </c>
      <c r="D46" s="579"/>
      <c r="E46" s="470">
        <v>0</v>
      </c>
      <c r="G46" s="470">
        <v>0</v>
      </c>
      <c r="H46" s="240"/>
      <c r="I46" s="765" t="str">
        <f>IF(SUM('eoy24'!O1311:O1317)='excess cost'!E46+'excess cost'!G46,"Ties to EOYR","Please review, does not tie to EOYR")</f>
        <v>Please review, does not tie to EOYR</v>
      </c>
      <c r="J46" s="766"/>
      <c r="K46" s="767"/>
      <c r="M46" s="3" t="s">
        <v>100</v>
      </c>
    </row>
    <row r="47" spans="2:16" ht="20.25" customHeight="1" thickTop="1" thickBot="1">
      <c r="B47" s="264" t="s">
        <v>2168</v>
      </c>
      <c r="C47" s="239" t="s">
        <v>2169</v>
      </c>
      <c r="D47" s="579"/>
      <c r="E47" s="470">
        <v>283891</v>
      </c>
      <c r="G47" s="470">
        <v>273563</v>
      </c>
      <c r="H47" s="240" t="s">
        <v>107</v>
      </c>
      <c r="I47" s="768" t="str">
        <f ca="1">IF(E47+G47='eoy24'!F632,"Ties to EOYR","Please review, does not tie to EOYR")</f>
        <v>Ties to EOYR</v>
      </c>
      <c r="J47" s="769"/>
      <c r="K47" s="770"/>
      <c r="L47" s="250"/>
    </row>
    <row r="48" spans="2:16" ht="20.25" customHeight="1" thickTop="1" thickBot="1">
      <c r="B48" s="264" t="s">
        <v>2170</v>
      </c>
      <c r="C48" s="239" t="s">
        <v>2171</v>
      </c>
      <c r="D48" s="579"/>
      <c r="E48" s="470">
        <v>371286</v>
      </c>
      <c r="G48" s="470">
        <v>0</v>
      </c>
      <c r="H48" s="240" t="s">
        <v>2172</v>
      </c>
      <c r="I48" s="768" t="str">
        <f ca="1">IF((E48+G48)='eoy24'!E632,"Ties to EOYR","Please review, does not tie to EOYR")</f>
        <v>Ties to EOYR</v>
      </c>
      <c r="J48" s="769"/>
      <c r="K48" s="770"/>
    </row>
    <row r="49" spans="2:13" s="509" customFormat="1" ht="20.25" customHeight="1" thickTop="1" thickBot="1">
      <c r="B49" s="264" t="s">
        <v>2173</v>
      </c>
      <c r="C49" s="239" t="s">
        <v>2174</v>
      </c>
      <c r="D49" s="580"/>
      <c r="E49" s="470">
        <v>0</v>
      </c>
      <c r="G49" s="508">
        <v>0</v>
      </c>
      <c r="H49" s="510"/>
      <c r="I49" s="771" t="s">
        <v>2175</v>
      </c>
      <c r="J49" s="772"/>
      <c r="K49" s="773"/>
    </row>
    <row r="50" spans="2:13" ht="20.25" customHeight="1" thickTop="1" thickBot="1">
      <c r="B50" s="264" t="s">
        <v>2176</v>
      </c>
      <c r="C50" s="239" t="s">
        <v>2177</v>
      </c>
      <c r="D50" s="579"/>
      <c r="E50" s="470">
        <v>2334389</v>
      </c>
      <c r="G50" s="470">
        <v>2195170</v>
      </c>
      <c r="H50" s="240"/>
      <c r="I50" s="768" t="str">
        <f ca="1">IF((E50+G50)=calcmisc!E569,"Ties to EOYR","Please review, does not tie to EOYR")</f>
        <v>Please review, does not tie to EOYR</v>
      </c>
      <c r="J50" s="769"/>
      <c r="K50" s="770"/>
      <c r="L50" s="3" t="s">
        <v>100</v>
      </c>
    </row>
    <row r="51" spans="2:13" s="509" customFormat="1" ht="20.25" customHeight="1" thickTop="1" thickBot="1">
      <c r="B51" s="264" t="s">
        <v>2178</v>
      </c>
      <c r="C51" s="239" t="s">
        <v>2179</v>
      </c>
      <c r="D51" s="580"/>
      <c r="E51" s="470">
        <v>0</v>
      </c>
      <c r="G51" s="508">
        <v>0</v>
      </c>
      <c r="H51" s="510"/>
      <c r="I51" s="774" t="s">
        <v>2175</v>
      </c>
      <c r="J51" s="775"/>
      <c r="K51" s="776"/>
    </row>
    <row r="52" spans="2:13" ht="12.75" customHeight="1" thickTop="1" thickBot="1">
      <c r="B52" s="264"/>
      <c r="E52" s="241"/>
      <c r="F52" s="241"/>
      <c r="G52" s="242"/>
      <c r="H52" s="240"/>
      <c r="I52" s="462"/>
      <c r="K52" s="463"/>
    </row>
    <row r="53" spans="2:13" ht="20.25" customHeight="1" thickTop="1" thickBot="1">
      <c r="B53" s="264"/>
      <c r="C53" s="239" t="s">
        <v>2180</v>
      </c>
      <c r="D53" s="581"/>
      <c r="E53" s="243">
        <f>SUM(E46:E51)</f>
        <v>2989566</v>
      </c>
      <c r="F53" s="241"/>
      <c r="G53" s="243">
        <f>SUM(G46:G51)</f>
        <v>2468733</v>
      </c>
      <c r="I53" s="462"/>
      <c r="J53" s="238"/>
      <c r="K53" s="461"/>
      <c r="L53" s="238"/>
      <c r="M53" s="238"/>
    </row>
    <row r="54" spans="2:13" ht="15.75" customHeight="1" thickTop="1" thickBot="1">
      <c r="B54" s="264"/>
      <c r="E54" s="244"/>
      <c r="F54" s="245"/>
      <c r="I54" s="462"/>
      <c r="J54" s="246"/>
      <c r="K54" s="464"/>
      <c r="L54" s="246"/>
      <c r="M54" s="246"/>
    </row>
    <row r="55" spans="2:13" ht="30" customHeight="1" thickTop="1" thickBot="1">
      <c r="B55" s="264"/>
      <c r="C55" s="239" t="s">
        <v>2181</v>
      </c>
      <c r="D55" s="582"/>
      <c r="E55" s="243">
        <f>IFERROR(E44-E53,"")</f>
        <v>10983562</v>
      </c>
      <c r="G55" s="243">
        <f>IFERROR(G44-G53,"")</f>
        <v>7810771</v>
      </c>
      <c r="H55" s="240"/>
      <c r="I55" s="462"/>
      <c r="K55" s="463"/>
    </row>
    <row r="56" spans="2:13" ht="16.149999999999999" thickTop="1" thickBot="1">
      <c r="B56" s="264"/>
      <c r="D56" s="245"/>
      <c r="E56" s="241"/>
      <c r="F56" s="241"/>
      <c r="G56" s="242"/>
      <c r="H56" s="240"/>
      <c r="I56" s="462"/>
      <c r="K56" s="463"/>
      <c r="L56" s="141" t="s">
        <v>100</v>
      </c>
    </row>
    <row r="57" spans="2:13" ht="39.75" customHeight="1" thickTop="1" thickBot="1">
      <c r="B57" s="264" t="s">
        <v>2182</v>
      </c>
      <c r="C57" s="239" t="s">
        <v>2183</v>
      </c>
      <c r="D57" s="583"/>
      <c r="E57" s="471">
        <v>715</v>
      </c>
      <c r="G57" s="471">
        <v>812</v>
      </c>
      <c r="H57" s="240"/>
      <c r="I57" s="759" t="s">
        <v>2184</v>
      </c>
      <c r="J57" s="760"/>
      <c r="K57" s="761"/>
      <c r="L57" s="511" t="s">
        <v>100</v>
      </c>
    </row>
    <row r="58" spans="2:13" ht="12.75" customHeight="1" thickTop="1" thickBot="1">
      <c r="B58" s="264"/>
      <c r="D58" s="245"/>
      <c r="E58" s="241"/>
      <c r="F58" s="241"/>
      <c r="G58" s="242"/>
      <c r="H58" s="240"/>
      <c r="I58" s="462"/>
      <c r="K58" s="463"/>
      <c r="L58" s="130" t="s">
        <v>100</v>
      </c>
    </row>
    <row r="59" spans="2:13" ht="20.25" customHeight="1" thickTop="1" thickBot="1">
      <c r="B59" s="264"/>
      <c r="C59" s="239" t="s">
        <v>2185</v>
      </c>
      <c r="D59" s="582"/>
      <c r="E59" s="247">
        <f>IFERROR(E55/E57,"")</f>
        <v>15361.625174825174</v>
      </c>
      <c r="G59" s="247">
        <f>IFERROR(G55/G57,"")</f>
        <v>9619.1761083743841</v>
      </c>
      <c r="H59" s="240"/>
      <c r="I59" s="462"/>
      <c r="K59" s="463"/>
    </row>
    <row r="60" spans="2:13" ht="12.75" customHeight="1" thickTop="1" thickBot="1">
      <c r="B60" s="264"/>
      <c r="D60" s="245"/>
      <c r="E60" s="241"/>
      <c r="F60" s="241"/>
      <c r="G60" s="242"/>
      <c r="H60" s="240"/>
      <c r="I60" s="462"/>
      <c r="K60" s="463"/>
    </row>
    <row r="61" spans="2:13" ht="20.25" customHeight="1" thickTop="1" thickBot="1">
      <c r="B61" s="264" t="s">
        <v>2186</v>
      </c>
      <c r="C61" s="239" t="s">
        <v>2187</v>
      </c>
      <c r="D61" s="584"/>
      <c r="E61" s="471">
        <v>142</v>
      </c>
      <c r="G61" s="471">
        <v>99</v>
      </c>
      <c r="H61" s="240"/>
      <c r="I61" s="462"/>
      <c r="K61" s="463"/>
    </row>
    <row r="62" spans="2:13" ht="12.75" customHeight="1" thickTop="1" thickBot="1">
      <c r="B62" s="264"/>
      <c r="D62" s="245"/>
      <c r="E62" s="241"/>
      <c r="F62" s="241"/>
      <c r="G62" s="242"/>
      <c r="H62" s="240"/>
      <c r="I62" s="462"/>
      <c r="K62" s="463"/>
    </row>
    <row r="63" spans="2:13" ht="33" customHeight="1" thickTop="1" thickBot="1">
      <c r="B63" s="264" t="s">
        <v>2188</v>
      </c>
      <c r="C63" s="239" t="s">
        <v>2189</v>
      </c>
      <c r="D63" s="582"/>
      <c r="E63" s="247">
        <f>IFERROR(E59*E61,"")</f>
        <v>2181350.7748251748</v>
      </c>
      <c r="G63" s="247">
        <f>IFERROR(G59*G61,"")</f>
        <v>952298.434729064</v>
      </c>
      <c r="H63" s="240"/>
      <c r="I63" s="465"/>
      <c r="J63" s="466"/>
      <c r="K63" s="467"/>
    </row>
    <row r="66" spans="3:10">
      <c r="E66" s="3">
        <f>COUNTBLANK(E46:E51)+COUNTBLANK(E44)+COUNTBLANK(E57)+COUNTBLANK(E61)</f>
        <v>0</v>
      </c>
      <c r="G66" s="3">
        <f>COUNTBLANK(G46:G51)+COUNTBLANK(G44)+COUNTBLANK(G57)+COUNTBLANK(G61)</f>
        <v>0</v>
      </c>
      <c r="J66" s="240"/>
    </row>
    <row r="67" spans="3:10">
      <c r="C67" s="250" t="s">
        <v>100</v>
      </c>
      <c r="G67" s="3">
        <f>E66+G66</f>
        <v>0</v>
      </c>
      <c r="J67" s="240"/>
    </row>
    <row r="68" spans="3:10">
      <c r="J68" s="240"/>
    </row>
    <row r="69" spans="3:10">
      <c r="J69" s="240"/>
    </row>
    <row r="70" spans="3:10">
      <c r="J70" s="240" t="s">
        <v>100</v>
      </c>
    </row>
    <row r="71" spans="3:10">
      <c r="J71" s="240"/>
    </row>
    <row r="72" spans="3:10">
      <c r="J72" s="240" t="s">
        <v>100</v>
      </c>
    </row>
    <row r="2870" spans="11:11" ht="105.75" customHeight="1">
      <c r="K2870" s="228" t="s">
        <v>2190</v>
      </c>
    </row>
    <row r="2912" spans="11:11" ht="90">
      <c r="K2912" s="228" t="s">
        <v>2190</v>
      </c>
    </row>
    <row r="2951" spans="11:11" ht="92.65" customHeight="1">
      <c r="K2951" s="228" t="s">
        <v>2190</v>
      </c>
    </row>
    <row r="2993" spans="11:11" ht="90">
      <c r="K2993" s="228" t="s">
        <v>2190</v>
      </c>
    </row>
    <row r="3021" spans="11:11" ht="90">
      <c r="K3021" s="228" t="s">
        <v>2190</v>
      </c>
    </row>
  </sheetData>
  <customSheetViews>
    <customSheetView guid="{EBCA391C-5ACD-495F-8ED1-C69B7D739622}">
      <selection activeCell="B5" sqref="B5"/>
      <pageMargins left="0" right="0" top="0" bottom="0" header="0" footer="0"/>
    </customSheetView>
  </customSheetViews>
  <mergeCells count="16">
    <mergeCell ref="C36:G36"/>
    <mergeCell ref="J37:P37"/>
    <mergeCell ref="I39:K39"/>
    <mergeCell ref="C2:R27"/>
    <mergeCell ref="C29:R31"/>
    <mergeCell ref="C34:D34"/>
    <mergeCell ref="G34:K34"/>
    <mergeCell ref="L34:M34"/>
    <mergeCell ref="I57:K57"/>
    <mergeCell ref="I44:K44"/>
    <mergeCell ref="I46:K46"/>
    <mergeCell ref="I48:K48"/>
    <mergeCell ref="I49:K49"/>
    <mergeCell ref="I50:K50"/>
    <mergeCell ref="I51:K51"/>
    <mergeCell ref="I47:K47"/>
  </mergeCells>
  <conditionalFormatting sqref="I44:K44">
    <cfRule type="cellIs" dxfId="4" priority="9" stopIfTrue="1" operator="equal">
      <formula>"Please review, does not tie to EOYR"</formula>
    </cfRule>
  </conditionalFormatting>
  <conditionalFormatting sqref="I46:K48">
    <cfRule type="cellIs" dxfId="3" priority="2" stopIfTrue="1" operator="equal">
      <formula>"Please review, does not tie to EOYR"</formula>
    </cfRule>
  </conditionalFormatting>
  <conditionalFormatting sqref="I50:K50">
    <cfRule type="cellIs" dxfId="2" priority="3" stopIfTrue="1" operator="equal">
      <formula>"Please review, does not tie to EOYR"</formula>
    </cfRule>
  </conditionalFormatting>
  <conditionalFormatting sqref="I57:K57">
    <cfRule type="cellIs" dxfId="1" priority="8" stopIfTrue="1" operator="equal">
      <formula>"Please review, does not tie to EOYR"</formula>
    </cfRule>
  </conditionalFormatting>
  <conditionalFormatting sqref="I61:K61">
    <cfRule type="cellIs" dxfId="0" priority="7" stopIfTrue="1" operator="equal">
      <formula>"Please review, does not tie to EOYR"</formula>
    </cfRule>
  </conditionalFormatting>
  <dataValidations count="1">
    <dataValidation type="list" allowBlank="1" showInputMessage="1" showErrorMessage="1" sqref="F42" xr:uid="{00000000-0002-0000-0B00-000000000000}">
      <formula1>"N/A,"</formula1>
    </dataValidation>
  </dataValidations>
  <hyperlinks>
    <hyperlink ref="B18" r:id="rId1" xr:uid="{00000000-0004-0000-0B00-000000000000}"/>
    <hyperlink ref="B17" r:id="rId2" xr:uid="{00000000-0004-0000-0B00-000001000000}"/>
    <hyperlink ref="B25" r:id="rId3" xr:uid="{00000000-0004-0000-0B00-000002000000}"/>
    <hyperlink ref="B26" r:id="rId4" xr:uid="{00000000-0004-0000-0B00-000003000000}"/>
    <hyperlink ref="B27" r:id="rId5" xr:uid="{00000000-0004-0000-0B00-000004000000}"/>
    <hyperlink ref="B32" r:id="rId6" xr:uid="{00000000-0004-0000-0B00-000005000000}"/>
    <hyperlink ref="L58" r:id="rId7" display="http://profiles.doe.mass.edu/statereport/selectedpopulations.aspx" xr:uid="{00000000-0004-0000-0B00-000006000000}"/>
    <hyperlink ref="L57" r:id="rId8" display="Please refer to Profiles on the DESE website to tie back your enrollment data" xr:uid="{00000000-0004-0000-0B00-000007000000}"/>
    <hyperlink ref="I57:K57" r:id="rId9" display="Please refer to Profiles on the DESE website to tie back your enrollment data" xr:uid="{00000000-0004-0000-0B00-000008000000}"/>
  </hyperlinks>
  <pageMargins left="0.7" right="0.7" top="0.75" bottom="0.75" header="0.3" footer="0.3"/>
  <pageSetup orientation="portrait" r:id="rId10"/>
  <drawing r:id="rId11"/>
  <legacyDrawing r:id="rId1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J574"/>
  <sheetViews>
    <sheetView topLeftCell="A550" workbookViewId="0">
      <selection activeCell="C559" sqref="C559:C561"/>
    </sheetView>
  </sheetViews>
  <sheetFormatPr defaultColWidth="9" defaultRowHeight="15" customHeight="1"/>
  <cols>
    <col min="1" max="1" width="4.109375" style="1" customWidth="1"/>
    <col min="2" max="2" width="4.6640625" style="1" customWidth="1"/>
    <col min="3" max="3" width="5.109375" style="1" customWidth="1"/>
    <col min="4" max="4" width="33.109375" style="1" customWidth="1"/>
    <col min="5" max="16384" width="9" style="1"/>
  </cols>
  <sheetData>
    <row r="1" spans="1:10" ht="15" customHeight="1">
      <c r="A1" s="1" t="s">
        <v>2191</v>
      </c>
    </row>
    <row r="4" spans="1:10" ht="15" customHeight="1">
      <c r="A4" s="46" t="s">
        <v>2186</v>
      </c>
      <c r="B4" s="46" t="s">
        <v>2192</v>
      </c>
      <c r="C4" s="46"/>
      <c r="D4" s="46"/>
    </row>
    <row r="5" spans="1:10" ht="15" customHeight="1">
      <c r="A5" s="118"/>
      <c r="I5" s="485" t="s">
        <v>2193</v>
      </c>
      <c r="J5" s="486"/>
    </row>
    <row r="6" spans="1:10" ht="15" customHeight="1">
      <c r="B6" s="42" t="s">
        <v>2194</v>
      </c>
      <c r="C6" s="42" t="s">
        <v>2195</v>
      </c>
      <c r="D6" s="42" t="s">
        <v>2196</v>
      </c>
      <c r="E6" s="42" t="s">
        <v>2197</v>
      </c>
      <c r="F6" s="42" t="s">
        <v>2198</v>
      </c>
      <c r="I6" s="480"/>
      <c r="J6" s="481">
        <f ca="1">IF(SUM(J7:J156)&gt;0,1,0)</f>
        <v>1</v>
      </c>
    </row>
    <row r="7" spans="1:10" ht="15" customHeight="1">
      <c r="B7" s="41">
        <v>3599</v>
      </c>
      <c r="C7" s="1" t="s">
        <v>2199</v>
      </c>
      <c r="D7" s="1" t="s">
        <v>2200</v>
      </c>
      <c r="E7" s="1">
        <f ca="1">'eoy24'!E831</f>
        <v>9135106.7699999996</v>
      </c>
      <c r="F7" s="1">
        <f>'eoy24'!E1100</f>
        <v>10922851</v>
      </c>
      <c r="I7" s="482" t="str">
        <f>IF(OR(schools!C2="000",schools!C2=""),"1",(SUMIF(data!$A$8:$AB$13001,schools!C2,data!$AB$8:$AB$13001)))</f>
        <v>1</v>
      </c>
      <c r="J7" s="483">
        <f>IF(I7&gt;0,0,1)</f>
        <v>0</v>
      </c>
    </row>
    <row r="8" spans="1:10" ht="15" customHeight="1">
      <c r="B8" s="41">
        <v>3599</v>
      </c>
      <c r="C8" s="1" t="s">
        <v>2201</v>
      </c>
      <c r="D8" s="1" t="s">
        <v>2202</v>
      </c>
      <c r="E8" s="1">
        <f ca="1">'eoy24'!F831</f>
        <v>4530159.0999999996</v>
      </c>
      <c r="F8" s="1">
        <f>'eoy24'!F1100</f>
        <v>4506361</v>
      </c>
      <c r="I8" s="482">
        <f ca="1">IF(OR(schools!C3="000",schools!C3=""),"1",(SUMIF(data!$A$8:$AB$13001,schools!C3,data!$AB$8:$AB$13001)))</f>
        <v>0</v>
      </c>
      <c r="J8" s="483">
        <f t="shared" ref="J8:J38" ca="1" si="0">IF(I8&gt;0,0,1)</f>
        <v>1</v>
      </c>
    </row>
    <row r="9" spans="1:10" ht="15" customHeight="1">
      <c r="B9" s="41">
        <v>3599</v>
      </c>
      <c r="C9" s="1" t="s">
        <v>2203</v>
      </c>
      <c r="D9" s="1" t="s">
        <v>2204</v>
      </c>
      <c r="E9" s="1">
        <f ca="1">'eoy24'!G831</f>
        <v>0</v>
      </c>
      <c r="F9" s="1">
        <f>'eoy24'!G1100</f>
        <v>0</v>
      </c>
      <c r="I9" s="482">
        <f ca="1">IF(OR(schools!C4="000",schools!C4=""),"1",(SUMIF(data!$A$8:$AB$13001,schools!C4,data!$AB$8:$AB$13001)))</f>
        <v>0</v>
      </c>
      <c r="J9" s="483">
        <f t="shared" ca="1" si="0"/>
        <v>1</v>
      </c>
    </row>
    <row r="10" spans="1:10" ht="15" customHeight="1">
      <c r="B10" s="41"/>
      <c r="D10" s="118" t="s">
        <v>2205</v>
      </c>
      <c r="E10" s="2">
        <f ca="1">SUM(E7:E9)</f>
        <v>13665265.869999999</v>
      </c>
      <c r="F10" s="2">
        <f>SUM(F7:F9)</f>
        <v>15429212</v>
      </c>
      <c r="I10" s="482">
        <f ca="1">IF(OR(schools!C5="000",schools!C5=""),"1",(SUMIF(data!$A$8:$AB$13001,schools!C5,data!$AB$8:$AB$13001)))</f>
        <v>0</v>
      </c>
      <c r="J10" s="483">
        <f t="shared" ca="1" si="0"/>
        <v>1</v>
      </c>
    </row>
    <row r="11" spans="1:10" ht="15" customHeight="1">
      <c r="B11" s="41"/>
      <c r="I11" s="482">
        <f ca="1">IF(OR(schools!C6="000",schools!C6=""),"1",(SUMIF(data!$A$8:$AB$13001,schools!C6,data!$AB$8:$AB$13001)))</f>
        <v>0</v>
      </c>
      <c r="J11" s="483">
        <f t="shared" ca="1" si="0"/>
        <v>1</v>
      </c>
    </row>
    <row r="12" spans="1:10" ht="15" customHeight="1">
      <c r="B12" s="41">
        <v>3599</v>
      </c>
      <c r="C12" s="1" t="s">
        <v>2206</v>
      </c>
      <c r="D12" s="41" t="s">
        <v>2207</v>
      </c>
      <c r="E12" s="1">
        <f ca="1">'eoy24'!H831</f>
        <v>0</v>
      </c>
      <c r="F12" s="1">
        <f>'eoy24'!H$1100</f>
        <v>0</v>
      </c>
      <c r="I12" s="482">
        <f ca="1">IF(OR(schools!C7="000",schools!C7=""),"1",(SUMIF(data!$A$8:$AB$13001,schools!C7,data!$AB$8:$AB$13001)))</f>
        <v>0</v>
      </c>
      <c r="J12" s="483">
        <f t="shared" ca="1" si="0"/>
        <v>1</v>
      </c>
    </row>
    <row r="13" spans="1:10" ht="15" customHeight="1">
      <c r="B13"/>
      <c r="I13" s="482" t="str">
        <f>IF(OR(schools!C8="000",schools!C8=""),"1",(SUMIF(data!$A$8:$AB$13001,schools!C8,data!$AB$8:$AB$13001)))</f>
        <v>1</v>
      </c>
      <c r="J13" s="483">
        <f t="shared" si="0"/>
        <v>0</v>
      </c>
    </row>
    <row r="14" spans="1:10" ht="15" customHeight="1">
      <c r="B14"/>
      <c r="D14" s="118" t="s">
        <v>2208</v>
      </c>
      <c r="E14" s="2">
        <f ca="1">E10+E12</f>
        <v>13665265.869999999</v>
      </c>
      <c r="F14" s="2">
        <f>F10+F12</f>
        <v>15429212</v>
      </c>
      <c r="I14" s="482" t="str">
        <f>IF(OR(schools!C9="000",schools!C9=""),"1",(SUMIF(data!$A$8:$AB$13001,schools!C9,data!$AB$8:$AB$13001)))</f>
        <v>1</v>
      </c>
      <c r="J14" s="483">
        <f t="shared" si="0"/>
        <v>0</v>
      </c>
    </row>
    <row r="15" spans="1:10" ht="15" customHeight="1">
      <c r="B15" s="41"/>
      <c r="E15" s="56" t="s">
        <v>2209</v>
      </c>
      <c r="F15" s="56" t="s">
        <v>2210</v>
      </c>
      <c r="I15" s="482" t="str">
        <f>IF(OR(schools!C10="000",schools!C10=""),"1",(SUMIF(data!$A$8:$AB$13001,schools!C10,data!$AB$8:$AB$13001)))</f>
        <v>1</v>
      </c>
      <c r="J15" s="483">
        <f t="shared" si="0"/>
        <v>0</v>
      </c>
    </row>
    <row r="16" spans="1:10" ht="15" customHeight="1">
      <c r="B16" s="41"/>
      <c r="D16" s="118" t="s">
        <v>2211</v>
      </c>
      <c r="E16" s="45">
        <f ca="1">IF(E14&gt;0,E10/E14,1)</f>
        <v>1</v>
      </c>
      <c r="F16" s="45">
        <f>IF(F14&gt;0,F10/F14,1)</f>
        <v>1</v>
      </c>
      <c r="I16" s="482" t="str">
        <f>IF(OR(schools!C11="000",schools!C11=""),"1",(SUMIF(data!$A$8:$AB$13001,schools!C11,data!$AB$8:$AB$13001)))</f>
        <v>1</v>
      </c>
      <c r="J16" s="483">
        <f t="shared" si="0"/>
        <v>0</v>
      </c>
    </row>
    <row r="17" spans="1:10" ht="15" customHeight="1">
      <c r="B17" s="41"/>
      <c r="I17" s="482" t="str">
        <f>IF(OR(schools!C12="000",schools!C12=""),"1",(SUMIF(data!$A$8:$AB$13001,schools!C12,data!$AB$8:$AB$13001)))</f>
        <v>1</v>
      </c>
      <c r="J17" s="483">
        <f t="shared" si="0"/>
        <v>0</v>
      </c>
    </row>
    <row r="18" spans="1:10" ht="15" customHeight="1">
      <c r="A18" s="46" t="s">
        <v>2212</v>
      </c>
      <c r="B18" s="46" t="s">
        <v>2213</v>
      </c>
      <c r="I18" s="482" t="str">
        <f>IF(OR(schools!C13="000",schools!C13=""),"1",(SUMIF(data!$A$8:$AB$13001,schools!C13,data!$AB$8:$AB$13001)))</f>
        <v>1</v>
      </c>
      <c r="J18" s="483">
        <f t="shared" si="0"/>
        <v>0</v>
      </c>
    </row>
    <row r="19" spans="1:10" ht="15" customHeight="1">
      <c r="B19" s="41"/>
      <c r="I19" s="482" t="str">
        <f>IF(OR(schools!C14="000",schools!C14=""),"1",(SUMIF(data!$A$8:$AB$13001,schools!C14,data!$AB$8:$AB$13001)))</f>
        <v>1</v>
      </c>
      <c r="J19" s="483">
        <f t="shared" si="0"/>
        <v>0</v>
      </c>
    </row>
    <row r="20" spans="1:10" ht="15" customHeight="1">
      <c r="B20" s="41">
        <v>1110</v>
      </c>
      <c r="C20" s="1" t="s">
        <v>2214</v>
      </c>
      <c r="D20" s="1" t="s">
        <v>2215</v>
      </c>
      <c r="E20" s="1">
        <f>'eoy24'!I66</f>
        <v>2336</v>
      </c>
      <c r="I20" s="482" t="str">
        <f>IF(OR(schools!C15="000",schools!C15=""),"1",(SUMIF(data!$A$8:$AB$13001,schools!C15,data!$AB$8:$AB$13001)))</f>
        <v>1</v>
      </c>
      <c r="J20" s="483">
        <f t="shared" si="0"/>
        <v>0</v>
      </c>
    </row>
    <row r="21" spans="1:10" ht="15" customHeight="1">
      <c r="B21" s="41">
        <v>1210</v>
      </c>
      <c r="C21" s="1" t="s">
        <v>2214</v>
      </c>
      <c r="D21" s="1" t="s">
        <v>2216</v>
      </c>
      <c r="E21" s="1">
        <f>'eoy24'!I74</f>
        <v>380243</v>
      </c>
      <c r="I21" s="482" t="str">
        <f>IF(OR(schools!C16="000",schools!C16=""),"1",(SUMIF(data!$A$8:$AB$13001,schools!C16,data!$AB$8:$AB$13001)))</f>
        <v>1</v>
      </c>
      <c r="J21" s="483">
        <f t="shared" si="0"/>
        <v>0</v>
      </c>
    </row>
    <row r="22" spans="1:10" ht="15" customHeight="1">
      <c r="B22" s="41">
        <v>1220</v>
      </c>
      <c r="C22" s="1" t="s">
        <v>2214</v>
      </c>
      <c r="D22" s="1" t="s">
        <v>2217</v>
      </c>
      <c r="E22" s="1">
        <f>'eoy24'!I82</f>
        <v>0</v>
      </c>
      <c r="I22" s="482" t="str">
        <f>IF(OR(schools!C17="000",schools!C17=""),"1",(SUMIF(data!$A$8:$AB$13001,schools!C17,data!$AB$8:$AB$13001)))</f>
        <v>1</v>
      </c>
      <c r="J22" s="483">
        <f t="shared" si="0"/>
        <v>0</v>
      </c>
    </row>
    <row r="23" spans="1:10" ht="15" customHeight="1">
      <c r="B23" s="41">
        <v>1230</v>
      </c>
      <c r="C23" s="1" t="s">
        <v>2214</v>
      </c>
      <c r="D23" s="1" t="s">
        <v>2218</v>
      </c>
      <c r="E23" s="1">
        <f>'eoy24'!I90</f>
        <v>46046</v>
      </c>
      <c r="G23" s="1" t="s">
        <v>100</v>
      </c>
      <c r="I23" s="482" t="str">
        <f>IF(OR(schools!C18="000",schools!C18=""),"1",(SUMIF(data!$A$8:$AB$13001,schools!C18,data!$AB$8:$AB$13001)))</f>
        <v>1</v>
      </c>
      <c r="J23" s="483">
        <f t="shared" si="0"/>
        <v>0</v>
      </c>
    </row>
    <row r="24" spans="1:10" ht="15" customHeight="1">
      <c r="B24" s="41">
        <v>1410</v>
      </c>
      <c r="C24" s="1" t="s">
        <v>2214</v>
      </c>
      <c r="D24" s="1" t="s">
        <v>2219</v>
      </c>
      <c r="E24" s="1">
        <f>'eoy24'!I98</f>
        <v>263354</v>
      </c>
      <c r="I24" s="482" t="str">
        <f>IF(OR(schools!C19="000",schools!C19=""),"1",(SUMIF(data!$A$8:$AB$13001,schools!C19,data!$AB$8:$AB$13001)))</f>
        <v>1</v>
      </c>
      <c r="J24" s="483">
        <f t="shared" si="0"/>
        <v>0</v>
      </c>
    </row>
    <row r="25" spans="1:10" ht="15" customHeight="1">
      <c r="B25" s="41">
        <v>1420</v>
      </c>
      <c r="C25" s="1" t="s">
        <v>2214</v>
      </c>
      <c r="D25" s="1" t="s">
        <v>2220</v>
      </c>
      <c r="E25" s="1">
        <f>'eoy24'!I106</f>
        <v>28977</v>
      </c>
      <c r="I25" s="482" t="str">
        <f>IF(OR(schools!C20="000",schools!C20=""),"1",(SUMIF(data!$A$8:$AB$13001,schools!C20,data!$AB$8:$AB$13001)))</f>
        <v>1</v>
      </c>
      <c r="J25" s="483">
        <f t="shared" si="0"/>
        <v>0</v>
      </c>
    </row>
    <row r="26" spans="1:10" ht="15" customHeight="1">
      <c r="B26" s="41">
        <v>1430</v>
      </c>
      <c r="C26" s="1" t="s">
        <v>2214</v>
      </c>
      <c r="D26" s="1" t="s">
        <v>2221</v>
      </c>
      <c r="E26" s="1">
        <f>'eoy24'!I114</f>
        <v>35992</v>
      </c>
      <c r="I26" s="482" t="str">
        <f>IF(OR(schools!C21="000",schools!C21=""),"1",(SUMIF(data!$A$8:$AB$13001,schools!C21,data!$AB$8:$AB$13001)))</f>
        <v>1</v>
      </c>
      <c r="J26" s="483">
        <f t="shared" si="0"/>
        <v>0</v>
      </c>
    </row>
    <row r="27" spans="1:10" ht="15" customHeight="1">
      <c r="B27" s="41">
        <v>1450</v>
      </c>
      <c r="C27" s="1" t="s">
        <v>2214</v>
      </c>
      <c r="D27" s="1" t="s">
        <v>2222</v>
      </c>
      <c r="E27" s="1">
        <f>'eoy24'!I124</f>
        <v>174917</v>
      </c>
      <c r="I27" s="482" t="str">
        <f>IF(OR(schools!C22="000",schools!C22=""),"1",(SUMIF(data!$A$8:$AB$13001,schools!C22,data!$AB$8:$AB$13001)))</f>
        <v>1</v>
      </c>
      <c r="J27" s="483">
        <f t="shared" si="0"/>
        <v>0</v>
      </c>
    </row>
    <row r="28" spans="1:10" ht="15" customHeight="1">
      <c r="B28" s="41"/>
      <c r="I28" s="482" t="str">
        <f>IF(OR(schools!C23="000",schools!C23=""),"1",(SUMIF(data!$A$8:$AB$13001,schools!C23,data!$AB$8:$AB$13001)))</f>
        <v>1</v>
      </c>
      <c r="J28" s="483">
        <f t="shared" si="0"/>
        <v>0</v>
      </c>
    </row>
    <row r="29" spans="1:10" ht="15" customHeight="1">
      <c r="B29" s="41"/>
      <c r="D29" s="118" t="s">
        <v>2223</v>
      </c>
      <c r="E29" s="2">
        <f>SUM(E20:E27)</f>
        <v>931865</v>
      </c>
      <c r="F29" s="47" t="s">
        <v>2224</v>
      </c>
      <c r="I29" s="482" t="str">
        <f>IF(OR(schools!C24="000",schools!C24=""),"1",(SUMIF(data!$A$8:$AB$13001,schools!C24,data!$AB$8:$AB$13001)))</f>
        <v>1</v>
      </c>
      <c r="J29" s="483">
        <f t="shared" si="0"/>
        <v>0</v>
      </c>
    </row>
    <row r="30" spans="1:10" ht="15" customHeight="1">
      <c r="B30" s="41"/>
      <c r="I30" s="482" t="str">
        <f>IF(OR(schools!C25="000",schools!C25=""),"1",(SUMIF(data!$A$8:$AB$13001,schools!C25,data!$AB$8:$AB$13001)))</f>
        <v>1</v>
      </c>
      <c r="J30" s="483">
        <f t="shared" si="0"/>
        <v>0</v>
      </c>
    </row>
    <row r="31" spans="1:10" ht="15" customHeight="1">
      <c r="F31"/>
      <c r="I31" s="482" t="str">
        <f>IF(OR(schools!C26="000",schools!C26=""),"1",(SUMIF(data!$A$8:$AB$13001,schools!C26,data!$AB$8:$AB$13001)))</f>
        <v>1</v>
      </c>
      <c r="J31" s="483">
        <f t="shared" si="0"/>
        <v>0</v>
      </c>
    </row>
    <row r="32" spans="1:10" ht="15" customHeight="1">
      <c r="I32" s="482" t="str">
        <f>IF(OR(schools!C27="000",schools!C27=""),"1",(SUMIF(data!$A$8:$AB$13001,schools!C27,data!$AB$8:$AB$13001)))</f>
        <v>1</v>
      </c>
      <c r="J32" s="483">
        <f t="shared" si="0"/>
        <v>0</v>
      </c>
    </row>
    <row r="33" spans="1:10" ht="15" customHeight="1">
      <c r="A33" s="46" t="s">
        <v>2225</v>
      </c>
      <c r="B33" s="46" t="s">
        <v>2226</v>
      </c>
      <c r="I33" s="482" t="str">
        <f>IF(OR(schools!C28="000",schools!C28=""),"1",(SUMIF(data!$A$8:$AB$13001,schools!C28,data!$AB$8:$AB$13001)))</f>
        <v>1</v>
      </c>
      <c r="J33" s="483">
        <f t="shared" si="0"/>
        <v>0</v>
      </c>
    </row>
    <row r="34" spans="1:10" ht="15" customHeight="1">
      <c r="I34" s="482" t="str">
        <f>IF(OR(schools!C29="000",schools!C29=""),"1",(SUMIF(data!$A$8:$AB$13001,schools!C29,data!$AB$8:$AB$13001)))</f>
        <v>1</v>
      </c>
      <c r="J34" s="483">
        <f t="shared" si="0"/>
        <v>0</v>
      </c>
    </row>
    <row r="35" spans="1:10" ht="15" customHeight="1">
      <c r="D35" s="1" t="s">
        <v>2227</v>
      </c>
      <c r="E35" s="102">
        <v>39204</v>
      </c>
      <c r="F35" s="47" t="s">
        <v>2228</v>
      </c>
      <c r="I35" s="482" t="str">
        <f>IF(OR(schools!C30="000",schools!C30=""),"1",(SUMIF(data!$A$8:$AB$13001,schools!C30,data!$AB$8:$AB$13001)))</f>
        <v>1</v>
      </c>
      <c r="J35" s="483">
        <f t="shared" si="0"/>
        <v>0</v>
      </c>
    </row>
    <row r="36" spans="1:10" ht="15" customHeight="1">
      <c r="I36" s="482" t="str">
        <f>IF(OR(schools!C31="000",schools!C31=""),"1",(SUMIF(data!$A$8:$AB$13001,schools!C31,data!$AB$8:$AB$13001)))</f>
        <v>1</v>
      </c>
      <c r="J36" s="483">
        <f t="shared" si="0"/>
        <v>0</v>
      </c>
    </row>
    <row r="37" spans="1:10" ht="15" customHeight="1">
      <c r="A37" s="46" t="s">
        <v>2229</v>
      </c>
      <c r="B37"/>
      <c r="E37" s="102"/>
      <c r="I37" s="482" t="str">
        <f>IF(OR(schools!C32="000",schools!C32=""),"1",(SUMIF(data!$A$8:$AB$13001,schools!C32,data!$AB$8:$AB$13001)))</f>
        <v>1</v>
      </c>
      <c r="J37" s="483">
        <f t="shared" si="0"/>
        <v>0</v>
      </c>
    </row>
    <row r="38" spans="1:10" ht="15" customHeight="1">
      <c r="A38" s="1">
        <v>1</v>
      </c>
      <c r="B38" s="1" t="s">
        <v>1278</v>
      </c>
      <c r="C38" s="1" t="s">
        <v>1277</v>
      </c>
      <c r="D38" s="1">
        <v>1</v>
      </c>
      <c r="E38" s="1" t="s">
        <v>2230</v>
      </c>
      <c r="I38" s="482" t="str">
        <f>IF(OR(schools!C33="000",schools!C33=""),"1",(SUMIF(data!$A$8:$AB$13001,schools!C33,data!$AB$8:$AB$13001)))</f>
        <v>1</v>
      </c>
      <c r="J38" s="483">
        <f t="shared" si="0"/>
        <v>0</v>
      </c>
    </row>
    <row r="39" spans="1:10" ht="15" customHeight="1">
      <c r="A39" s="1">
        <v>2</v>
      </c>
      <c r="B39" s="1" t="s">
        <v>1280</v>
      </c>
      <c r="C39" s="1" t="s">
        <v>1279</v>
      </c>
      <c r="D39" s="1">
        <v>1</v>
      </c>
      <c r="E39" s="1" t="s">
        <v>2230</v>
      </c>
      <c r="I39" s="482" t="str">
        <f>IF(OR(schools!C34="000",schools!C34=""),"1",(SUMIF(data!$A$8:$AB$13001,schools!C34,data!$AB$8:$AB$13001)))</f>
        <v>1</v>
      </c>
      <c r="J39" s="483">
        <f t="shared" ref="J39:J70" si="1">IF(I39&gt;0,0,1)</f>
        <v>0</v>
      </c>
    </row>
    <row r="40" spans="1:10" ht="15" customHeight="1">
      <c r="A40" s="1">
        <v>3</v>
      </c>
      <c r="B40" s="1" t="s">
        <v>1282</v>
      </c>
      <c r="C40" s="1" t="s">
        <v>1281</v>
      </c>
      <c r="D40" s="1">
        <v>1</v>
      </c>
      <c r="E40" s="1" t="s">
        <v>2230</v>
      </c>
      <c r="I40" s="482" t="str">
        <f>IF(OR(schools!C35="000",schools!C35=""),"1",(SUMIF(data!$A$8:$AB$13001,schools!C35,data!$AB$8:$AB$13001)))</f>
        <v>1</v>
      </c>
      <c r="J40" s="483">
        <f t="shared" si="1"/>
        <v>0</v>
      </c>
    </row>
    <row r="41" spans="1:10" ht="15" customHeight="1">
      <c r="A41" s="1">
        <v>4</v>
      </c>
      <c r="B41" s="1" t="s">
        <v>1284</v>
      </c>
      <c r="C41" s="1" t="s">
        <v>1283</v>
      </c>
      <c r="D41" s="1">
        <v>0</v>
      </c>
      <c r="E41" s="1" t="s">
        <v>2230</v>
      </c>
      <c r="I41" s="482" t="str">
        <f>IF(OR(schools!C36="000",schools!C36=""),"1",(SUMIF(data!$A$8:$AB$13001,schools!C36,data!$AB$8:$AB$13001)))</f>
        <v>1</v>
      </c>
      <c r="J41" s="483">
        <f t="shared" si="1"/>
        <v>0</v>
      </c>
    </row>
    <row r="42" spans="1:10" ht="15" customHeight="1">
      <c r="A42" s="1">
        <v>5</v>
      </c>
      <c r="B42" s="1" t="s">
        <v>1286</v>
      </c>
      <c r="C42" s="1" t="s">
        <v>1285</v>
      </c>
      <c r="D42" s="1">
        <v>1</v>
      </c>
      <c r="E42" s="1" t="s">
        <v>2231</v>
      </c>
      <c r="I42" s="482" t="str">
        <f>IF(OR(schools!C37="000",schools!C37=""),"1",(SUMIF(data!$A$8:$AB$13001,schools!C37,data!$AB$8:$AB$13001)))</f>
        <v>1</v>
      </c>
      <c r="J42" s="483">
        <f t="shared" si="1"/>
        <v>0</v>
      </c>
    </row>
    <row r="43" spans="1:10" ht="15" customHeight="1">
      <c r="A43" s="1">
        <v>6</v>
      </c>
      <c r="B43" s="1" t="s">
        <v>1288</v>
      </c>
      <c r="C43" s="1" t="s">
        <v>1287</v>
      </c>
      <c r="D43" s="1">
        <v>0</v>
      </c>
      <c r="E43" s="1" t="s">
        <v>2230</v>
      </c>
      <c r="I43" s="482" t="str">
        <f>IF(OR(schools!C38="000",schools!C38=""),"1",(SUMIF(data!$A$8:$AB$13001,schools!C38,data!$AB$8:$AB$13001)))</f>
        <v>1</v>
      </c>
      <c r="J43" s="483">
        <f t="shared" si="1"/>
        <v>0</v>
      </c>
    </row>
    <row r="44" spans="1:10" ht="15" customHeight="1">
      <c r="A44" s="1">
        <v>7</v>
      </c>
      <c r="B44" s="1" t="s">
        <v>1290</v>
      </c>
      <c r="C44" s="1" t="s">
        <v>1289</v>
      </c>
      <c r="D44" s="1">
        <v>1</v>
      </c>
      <c r="E44" s="1" t="s">
        <v>2230</v>
      </c>
      <c r="I44" s="482" t="str">
        <f>IF(OR(schools!C39="000",schools!C39=""),"1",(SUMIF(data!$A$8:$AB$13001,schools!C39,data!$AB$8:$AB$13001)))</f>
        <v>1</v>
      </c>
      <c r="J44" s="483">
        <f t="shared" si="1"/>
        <v>0</v>
      </c>
    </row>
    <row r="45" spans="1:10" ht="15" customHeight="1">
      <c r="A45" s="1">
        <v>8</v>
      </c>
      <c r="B45" s="1" t="s">
        <v>1292</v>
      </c>
      <c r="C45" s="1" t="s">
        <v>1291</v>
      </c>
      <c r="D45" s="1">
        <v>1</v>
      </c>
      <c r="E45" s="1" t="s">
        <v>2230</v>
      </c>
      <c r="I45" s="482" t="str">
        <f>IF(OR(schools!C40="000",schools!C40=""),"1",(SUMIF(data!$A$8:$AB$13001,schools!C40,data!$AB$8:$AB$13001)))</f>
        <v>1</v>
      </c>
      <c r="J45" s="483">
        <f t="shared" si="1"/>
        <v>0</v>
      </c>
    </row>
    <row r="46" spans="1:10" ht="15" customHeight="1">
      <c r="A46" s="1">
        <v>9</v>
      </c>
      <c r="B46" s="1" t="s">
        <v>1294</v>
      </c>
      <c r="C46" s="1" t="s">
        <v>1293</v>
      </c>
      <c r="D46" s="1">
        <v>1</v>
      </c>
      <c r="E46" s="1" t="s">
        <v>2230</v>
      </c>
      <c r="I46" s="482" t="str">
        <f>IF(OR(schools!C41="000",schools!C41=""),"1",(SUMIF(data!$A$8:$AB$13001,schools!C41,data!$AB$8:$AB$13001)))</f>
        <v>1</v>
      </c>
      <c r="J46" s="483">
        <f t="shared" si="1"/>
        <v>0</v>
      </c>
    </row>
    <row r="47" spans="1:10" ht="15" customHeight="1">
      <c r="A47" s="1">
        <v>10</v>
      </c>
      <c r="B47" s="1" t="s">
        <v>1295</v>
      </c>
      <c r="C47" s="1" t="s">
        <v>1262</v>
      </c>
      <c r="D47" s="1">
        <v>1</v>
      </c>
      <c r="E47" s="1" t="s">
        <v>2230</v>
      </c>
      <c r="I47" s="482" t="str">
        <f>IF(OR(schools!C42="000",schools!C42=""),"1",(SUMIF(data!$A$8:$AB$13001,schools!C42,data!$AB$8:$AB$13001)))</f>
        <v>1</v>
      </c>
      <c r="J47" s="483">
        <f t="shared" si="1"/>
        <v>0</v>
      </c>
    </row>
    <row r="48" spans="1:10" ht="15" customHeight="1">
      <c r="A48" s="1">
        <v>11</v>
      </c>
      <c r="B48" s="1" t="s">
        <v>1297</v>
      </c>
      <c r="C48" s="1" t="s">
        <v>1296</v>
      </c>
      <c r="D48" s="1">
        <v>0</v>
      </c>
      <c r="E48" s="1" t="s">
        <v>2230</v>
      </c>
      <c r="I48" s="482" t="str">
        <f>IF(OR(schools!C43="000",schools!C43=""),"1",(SUMIF(data!$A$8:$AB$13001,schools!C43,data!$AB$8:$AB$13001)))</f>
        <v>1</v>
      </c>
      <c r="J48" s="483">
        <f t="shared" si="1"/>
        <v>0</v>
      </c>
    </row>
    <row r="49" spans="1:10" ht="15" customHeight="1">
      <c r="A49" s="1">
        <v>12</v>
      </c>
      <c r="B49" s="1" t="s">
        <v>1299</v>
      </c>
      <c r="C49" s="1" t="s">
        <v>1298</v>
      </c>
      <c r="D49" s="1">
        <v>0</v>
      </c>
      <c r="E49" s="1" t="s">
        <v>2230</v>
      </c>
      <c r="I49" s="482" t="str">
        <f>IF(OR(schools!C44="000",schools!C44=""),"1",(SUMIF(data!$A$8:$AB$13001,schools!C44,data!$AB$8:$AB$13001)))</f>
        <v>1</v>
      </c>
      <c r="J49" s="483">
        <f t="shared" si="1"/>
        <v>0</v>
      </c>
    </row>
    <row r="50" spans="1:10" ht="15" customHeight="1">
      <c r="A50" s="1">
        <v>13</v>
      </c>
      <c r="B50" s="1" t="s">
        <v>1301</v>
      </c>
      <c r="C50" s="1" t="s">
        <v>1300</v>
      </c>
      <c r="D50" s="1">
        <v>0</v>
      </c>
      <c r="E50" s="1" t="s">
        <v>2230</v>
      </c>
      <c r="I50" s="482" t="str">
        <f>IF(OR(schools!C45="000",schools!C45=""),"1",(SUMIF(data!$A$8:$AB$13001,schools!C45,data!$AB$8:$AB$13001)))</f>
        <v>1</v>
      </c>
      <c r="J50" s="483">
        <f t="shared" si="1"/>
        <v>0</v>
      </c>
    </row>
    <row r="51" spans="1:10" ht="15" customHeight="1">
      <c r="A51" s="1">
        <v>14</v>
      </c>
      <c r="B51" s="1" t="s">
        <v>1303</v>
      </c>
      <c r="C51" s="1" t="s">
        <v>1302</v>
      </c>
      <c r="D51" s="1">
        <v>1</v>
      </c>
      <c r="E51" s="1" t="s">
        <v>2230</v>
      </c>
      <c r="I51" s="482" t="str">
        <f>IF(OR(schools!C46="000",schools!C46=""),"1",(SUMIF(data!$A$8:$AB$13001,schools!C46,data!$AB$8:$AB$13001)))</f>
        <v>1</v>
      </c>
      <c r="J51" s="483">
        <f t="shared" si="1"/>
        <v>0</v>
      </c>
    </row>
    <row r="52" spans="1:10" ht="15" customHeight="1">
      <c r="A52" s="1">
        <v>15</v>
      </c>
      <c r="B52" s="1" t="s">
        <v>1305</v>
      </c>
      <c r="C52" s="1" t="s">
        <v>1304</v>
      </c>
      <c r="D52" s="1">
        <v>0</v>
      </c>
      <c r="E52" s="1" t="s">
        <v>2230</v>
      </c>
      <c r="I52" s="482" t="str">
        <f>IF(OR(schools!C47="000",schools!C47=""),"1",(SUMIF(data!$A$8:$AB$13001,schools!C47,data!$AB$8:$AB$13001)))</f>
        <v>1</v>
      </c>
      <c r="J52" s="483">
        <f t="shared" si="1"/>
        <v>0</v>
      </c>
    </row>
    <row r="53" spans="1:10" ht="15" customHeight="1">
      <c r="A53" s="1">
        <v>16</v>
      </c>
      <c r="B53" s="1" t="s">
        <v>1307</v>
      </c>
      <c r="C53" s="1" t="s">
        <v>1306</v>
      </c>
      <c r="D53" s="1">
        <v>1</v>
      </c>
      <c r="E53" s="1" t="s">
        <v>2231</v>
      </c>
      <c r="I53" s="482" t="str">
        <f>IF(OR(schools!C48="000",schools!C48=""),"1",(SUMIF(data!$A$8:$AB$13001,schools!C48,data!$AB$8:$AB$13001)))</f>
        <v>1</v>
      </c>
      <c r="J53" s="483">
        <f t="shared" si="1"/>
        <v>0</v>
      </c>
    </row>
    <row r="54" spans="1:10" ht="15" customHeight="1">
      <c r="A54" s="1">
        <v>17</v>
      </c>
      <c r="B54" s="1" t="s">
        <v>1309</v>
      </c>
      <c r="C54" s="1" t="s">
        <v>1308</v>
      </c>
      <c r="D54" s="1">
        <v>1</v>
      </c>
      <c r="E54" s="1" t="s">
        <v>2230</v>
      </c>
      <c r="I54" s="482" t="str">
        <f>IF(OR(schools!C49="000",schools!C49=""),"1",(SUMIF(data!$A$8:$AB$13001,schools!C49,data!$AB$8:$AB$13001)))</f>
        <v>1</v>
      </c>
      <c r="J54" s="483">
        <f t="shared" si="1"/>
        <v>0</v>
      </c>
    </row>
    <row r="55" spans="1:10" ht="15" customHeight="1">
      <c r="A55" s="1">
        <v>18</v>
      </c>
      <c r="B55" s="1" t="s">
        <v>1311</v>
      </c>
      <c r="C55" s="1" t="s">
        <v>1310</v>
      </c>
      <c r="D55" s="1">
        <v>1</v>
      </c>
      <c r="E55" s="1" t="s">
        <v>2230</v>
      </c>
      <c r="I55" s="482" t="str">
        <f>IF(OR(schools!C50="000",schools!C50=""),"1",(SUMIF(data!$A$8:$AB$13001,schools!C50,data!$AB$8:$AB$13001)))</f>
        <v>1</v>
      </c>
      <c r="J55" s="483">
        <f t="shared" si="1"/>
        <v>0</v>
      </c>
    </row>
    <row r="56" spans="1:10" ht="15" customHeight="1">
      <c r="A56" s="1">
        <v>19</v>
      </c>
      <c r="B56" s="1" t="s">
        <v>1313</v>
      </c>
      <c r="C56" s="1" t="s">
        <v>1312</v>
      </c>
      <c r="D56" s="1">
        <v>0</v>
      </c>
      <c r="E56" s="1" t="s">
        <v>2230</v>
      </c>
      <c r="I56" s="482" t="str">
        <f>IF(OR(schools!C51="000",schools!C51=""),"1",(SUMIF(data!$A$8:$AB$13001,schools!C51,data!$AB$8:$AB$13001)))</f>
        <v>1</v>
      </c>
      <c r="J56" s="483">
        <f t="shared" si="1"/>
        <v>0</v>
      </c>
    </row>
    <row r="57" spans="1:10" ht="15" customHeight="1">
      <c r="A57" s="1">
        <v>20</v>
      </c>
      <c r="B57" s="1" t="s">
        <v>1315</v>
      </c>
      <c r="C57" s="1" t="s">
        <v>1314</v>
      </c>
      <c r="D57" s="1">
        <v>1</v>
      </c>
      <c r="E57" s="1" t="s">
        <v>2230</v>
      </c>
      <c r="I57" s="482" t="str">
        <f>IF(OR(schools!C52="000",schools!C52=""),"1",(SUMIF(data!$A$8:$AB$13001,schools!C52,data!$AB$8:$AB$13001)))</f>
        <v>1</v>
      </c>
      <c r="J57" s="483">
        <f t="shared" si="1"/>
        <v>0</v>
      </c>
    </row>
    <row r="58" spans="1:10" ht="15" customHeight="1">
      <c r="A58" s="1">
        <v>21</v>
      </c>
      <c r="B58" s="1" t="s">
        <v>1317</v>
      </c>
      <c r="C58" s="1" t="s">
        <v>1316</v>
      </c>
      <c r="D58" s="1">
        <v>0</v>
      </c>
      <c r="E58" s="1" t="s">
        <v>2230</v>
      </c>
      <c r="I58" s="482" t="str">
        <f>IF(OR(schools!C53="000",schools!C53=""),"1",(SUMIF(data!$A$8:$AB$13001,schools!C53,data!$AB$8:$AB$13001)))</f>
        <v>1</v>
      </c>
      <c r="J58" s="483">
        <f t="shared" si="1"/>
        <v>0</v>
      </c>
    </row>
    <row r="59" spans="1:10" ht="15" customHeight="1">
      <c r="A59" s="1">
        <v>22</v>
      </c>
      <c r="B59" s="1" t="s">
        <v>1319</v>
      </c>
      <c r="C59" s="1" t="s">
        <v>1318</v>
      </c>
      <c r="D59" s="1">
        <v>0</v>
      </c>
      <c r="E59" s="1" t="s">
        <v>2230</v>
      </c>
      <c r="I59" s="482" t="str">
        <f>IF(OR(schools!C54="000",schools!C54=""),"1",(SUMIF(data!$A$8:$AB$13001,schools!C54,data!$AB$8:$AB$13001)))</f>
        <v>1</v>
      </c>
      <c r="J59" s="483">
        <f t="shared" si="1"/>
        <v>0</v>
      </c>
    </row>
    <row r="60" spans="1:10" ht="15" customHeight="1">
      <c r="A60" s="1">
        <v>23</v>
      </c>
      <c r="B60" s="1" t="s">
        <v>1321</v>
      </c>
      <c r="C60" s="1" t="s">
        <v>1320</v>
      </c>
      <c r="D60" s="1">
        <v>1</v>
      </c>
      <c r="E60" s="1" t="s">
        <v>2230</v>
      </c>
      <c r="I60" s="482" t="str">
        <f>IF(OR(schools!C55="000",schools!C55=""),"1",(SUMIF(data!$A$8:$AB$13001,schools!C55,data!$AB$8:$AB$13001)))</f>
        <v>1</v>
      </c>
      <c r="J60" s="483">
        <f t="shared" si="1"/>
        <v>0</v>
      </c>
    </row>
    <row r="61" spans="1:10" ht="15" customHeight="1">
      <c r="A61" s="1">
        <v>24</v>
      </c>
      <c r="B61" s="1" t="s">
        <v>1323</v>
      </c>
      <c r="C61" s="1" t="s">
        <v>1322</v>
      </c>
      <c r="D61" s="1">
        <v>1</v>
      </c>
      <c r="E61" s="1" t="s">
        <v>2230</v>
      </c>
      <c r="I61" s="482" t="str">
        <f>IF(OR(schools!C56="000",schools!C56=""),"1",(SUMIF(data!$A$8:$AB$13001,schools!C56,data!$AB$8:$AB$13001)))</f>
        <v>1</v>
      </c>
      <c r="J61" s="483">
        <f t="shared" si="1"/>
        <v>0</v>
      </c>
    </row>
    <row r="62" spans="1:10" ht="15" customHeight="1">
      <c r="A62" s="1">
        <v>25</v>
      </c>
      <c r="B62" s="1" t="s">
        <v>1324</v>
      </c>
      <c r="C62" s="1" t="s">
        <v>1263</v>
      </c>
      <c r="D62" s="1">
        <v>1</v>
      </c>
      <c r="E62" s="1" t="s">
        <v>2230</v>
      </c>
      <c r="I62" s="482" t="str">
        <f>IF(OR(schools!C57="000",schools!C57=""),"1",(SUMIF(data!$A$8:$AB$13001,schools!C57,data!$AB$8:$AB$13001)))</f>
        <v>1</v>
      </c>
      <c r="J62" s="483">
        <f t="shared" si="1"/>
        <v>0</v>
      </c>
    </row>
    <row r="63" spans="1:10" ht="15" customHeight="1">
      <c r="A63" s="1">
        <v>26</v>
      </c>
      <c r="B63" s="1" t="s">
        <v>1326</v>
      </c>
      <c r="C63" s="1" t="s">
        <v>1325</v>
      </c>
      <c r="D63" s="1">
        <v>1</v>
      </c>
      <c r="E63" s="1" t="s">
        <v>2231</v>
      </c>
      <c r="I63" s="482" t="str">
        <f>IF(OR(schools!C58="000",schools!C58=""),"1",(SUMIF(data!$A$8:$AB$13001,schools!C58,data!$AB$8:$AB$13001)))</f>
        <v>1</v>
      </c>
      <c r="J63" s="483">
        <f t="shared" si="1"/>
        <v>0</v>
      </c>
    </row>
    <row r="64" spans="1:10" ht="15" customHeight="1">
      <c r="A64" s="1">
        <v>27</v>
      </c>
      <c r="B64" s="1" t="s">
        <v>1328</v>
      </c>
      <c r="C64" s="1" t="s">
        <v>1327</v>
      </c>
      <c r="D64" s="1">
        <v>1</v>
      </c>
      <c r="E64" s="1" t="s">
        <v>2230</v>
      </c>
      <c r="I64" s="482" t="str">
        <f>IF(OR(schools!C59="000",schools!C59=""),"1",(SUMIF(data!$A$8:$AB$13001,schools!C59,data!$AB$8:$AB$13001)))</f>
        <v>1</v>
      </c>
      <c r="J64" s="483">
        <f t="shared" si="1"/>
        <v>0</v>
      </c>
    </row>
    <row r="65" spans="1:10" ht="15" customHeight="1">
      <c r="A65" s="1">
        <v>28</v>
      </c>
      <c r="B65" s="1" t="s">
        <v>1330</v>
      </c>
      <c r="C65" s="1" t="s">
        <v>1329</v>
      </c>
      <c r="D65" s="1">
        <v>0</v>
      </c>
      <c r="E65" s="1" t="s">
        <v>2230</v>
      </c>
      <c r="I65" s="482" t="str">
        <f>IF(OR(schools!C60="000",schools!C60=""),"1",(SUMIF(data!$A$8:$AB$13001,schools!C60,data!$AB$8:$AB$13001)))</f>
        <v>1</v>
      </c>
      <c r="J65" s="483">
        <f t="shared" si="1"/>
        <v>0</v>
      </c>
    </row>
    <row r="66" spans="1:10" ht="15" customHeight="1">
      <c r="A66" s="1">
        <v>29</v>
      </c>
      <c r="B66" s="1" t="s">
        <v>1332</v>
      </c>
      <c r="C66" s="1" t="s">
        <v>1331</v>
      </c>
      <c r="D66" s="1">
        <v>0</v>
      </c>
      <c r="E66" s="1" t="s">
        <v>2230</v>
      </c>
      <c r="I66" s="482" t="str">
        <f>IF(OR(schools!C61="000",schools!C61=""),"1",(SUMIF(data!$A$8:$AB$13001,schools!C61,data!$AB$8:$AB$13001)))</f>
        <v>1</v>
      </c>
      <c r="J66" s="483">
        <f t="shared" si="1"/>
        <v>0</v>
      </c>
    </row>
    <row r="67" spans="1:10" ht="15" customHeight="1">
      <c r="A67" s="1">
        <v>30</v>
      </c>
      <c r="B67" s="1" t="s">
        <v>1334</v>
      </c>
      <c r="C67" s="1" t="s">
        <v>1333</v>
      </c>
      <c r="D67" s="1">
        <v>1</v>
      </c>
      <c r="E67" s="1" t="s">
        <v>2230</v>
      </c>
      <c r="I67" s="482" t="str">
        <f>IF(OR(schools!C62="000",schools!C62=""),"1",(SUMIF(data!$A$8:$AB$13001,schools!C62,data!$AB$8:$AB$13001)))</f>
        <v>1</v>
      </c>
      <c r="J67" s="483">
        <f t="shared" si="1"/>
        <v>0</v>
      </c>
    </row>
    <row r="68" spans="1:10" ht="15" customHeight="1">
      <c r="A68" s="101">
        <v>31</v>
      </c>
      <c r="B68" s="101" t="s">
        <v>1336</v>
      </c>
      <c r="C68" s="101" t="s">
        <v>1335</v>
      </c>
      <c r="D68" s="101">
        <v>1</v>
      </c>
      <c r="E68" s="1" t="s">
        <v>2230</v>
      </c>
      <c r="I68" s="482" t="str">
        <f>IF(OR(schools!C63="000",schools!C63=""),"1",(SUMIF(data!$A$8:$AB$13001,schools!C63,data!$AB$8:$AB$13001)))</f>
        <v>1</v>
      </c>
      <c r="J68" s="483">
        <f t="shared" si="1"/>
        <v>0</v>
      </c>
    </row>
    <row r="69" spans="1:10" ht="15" customHeight="1">
      <c r="A69" s="1">
        <v>32</v>
      </c>
      <c r="B69" s="1" t="s">
        <v>1338</v>
      </c>
      <c r="C69" s="1" t="s">
        <v>1337</v>
      </c>
      <c r="D69" s="1">
        <v>0</v>
      </c>
      <c r="E69" s="1" t="s">
        <v>2230</v>
      </c>
      <c r="I69" s="482" t="str">
        <f>IF(OR(schools!C64="000",schools!C64=""),"1",(SUMIF(data!$A$8:$AB$13001,schools!C64,data!$AB$8:$AB$13001)))</f>
        <v>1</v>
      </c>
      <c r="J69" s="483">
        <f t="shared" si="1"/>
        <v>0</v>
      </c>
    </row>
    <row r="70" spans="1:10" ht="15" customHeight="1">
      <c r="A70" s="1">
        <v>33</v>
      </c>
      <c r="B70" s="1" t="s">
        <v>1340</v>
      </c>
      <c r="C70" s="1" t="s">
        <v>1339</v>
      </c>
      <c r="D70" s="1">
        <v>0</v>
      </c>
      <c r="E70" s="1" t="s">
        <v>2230</v>
      </c>
      <c r="I70" s="482" t="str">
        <f>IF(OR(schools!C65="000",schools!C65=""),"1",(SUMIF(data!$A$8:$AB$13001,schools!C65,data!$AB$8:$AB$13001)))</f>
        <v>1</v>
      </c>
      <c r="J70" s="483">
        <f t="shared" si="1"/>
        <v>0</v>
      </c>
    </row>
    <row r="71" spans="1:10" ht="15" customHeight="1">
      <c r="A71" s="1">
        <v>34</v>
      </c>
      <c r="B71" s="1" t="s">
        <v>1342</v>
      </c>
      <c r="C71" s="1" t="s">
        <v>1341</v>
      </c>
      <c r="D71" s="1">
        <v>0</v>
      </c>
      <c r="E71" s="1" t="s">
        <v>2230</v>
      </c>
      <c r="I71" s="482" t="str">
        <f>IF(OR(schools!C66="000",schools!C66=""),"1",(SUMIF(data!$A$8:$AB$13001,schools!C66,data!$AB$8:$AB$13001)))</f>
        <v>1</v>
      </c>
      <c r="J71" s="483">
        <f t="shared" ref="J71:J102" si="2">IF(I71&gt;0,0,1)</f>
        <v>0</v>
      </c>
    </row>
    <row r="72" spans="1:10" ht="15" customHeight="1">
      <c r="A72" s="1">
        <v>35</v>
      </c>
      <c r="B72" s="1" t="s">
        <v>1344</v>
      </c>
      <c r="C72" s="1" t="s">
        <v>1343</v>
      </c>
      <c r="D72" s="1">
        <v>1</v>
      </c>
      <c r="E72" s="1" t="s">
        <v>2231</v>
      </c>
      <c r="I72" s="482" t="str">
        <f>IF(OR(schools!C67="000",schools!C67=""),"1",(SUMIF(data!$A$8:$AB$13001,schools!C67,data!$AB$8:$AB$13001)))</f>
        <v>1</v>
      </c>
      <c r="J72" s="483">
        <f t="shared" si="2"/>
        <v>0</v>
      </c>
    </row>
    <row r="73" spans="1:10" ht="15" customHeight="1">
      <c r="A73" s="1">
        <v>36</v>
      </c>
      <c r="B73" s="1" t="s">
        <v>1346</v>
      </c>
      <c r="C73" s="1" t="s">
        <v>1345</v>
      </c>
      <c r="D73" s="1">
        <v>1</v>
      </c>
      <c r="E73" s="1" t="s">
        <v>2230</v>
      </c>
      <c r="I73" s="482" t="str">
        <f>IF(OR(schools!C68="000",schools!C68=""),"1",(SUMIF(data!$A$8:$AB$13001,schools!C68,data!$AB$8:$AB$13001)))</f>
        <v>1</v>
      </c>
      <c r="J73" s="483">
        <f t="shared" si="2"/>
        <v>0</v>
      </c>
    </row>
    <row r="74" spans="1:10" ht="15" customHeight="1">
      <c r="A74" s="1">
        <v>37</v>
      </c>
      <c r="B74" s="1" t="s">
        <v>1348</v>
      </c>
      <c r="C74" s="1" t="s">
        <v>1347</v>
      </c>
      <c r="D74" s="1">
        <v>1</v>
      </c>
      <c r="E74" s="1" t="s">
        <v>2230</v>
      </c>
      <c r="I74" s="482" t="str">
        <f>IF(OR(schools!C69="000",schools!C69=""),"1",(SUMIF(data!$A$8:$AB$13001,schools!C69,data!$AB$8:$AB$13001)))</f>
        <v>1</v>
      </c>
      <c r="J74" s="483">
        <f t="shared" si="2"/>
        <v>0</v>
      </c>
    </row>
    <row r="75" spans="1:10" ht="15" customHeight="1">
      <c r="A75" s="1">
        <v>38</v>
      </c>
      <c r="B75" s="1" t="s">
        <v>1350</v>
      </c>
      <c r="C75" s="1" t="s">
        <v>1349</v>
      </c>
      <c r="D75" s="1">
        <v>1</v>
      </c>
      <c r="E75" s="1" t="s">
        <v>2230</v>
      </c>
      <c r="I75" s="482" t="str">
        <f>IF(OR(schools!C70="000",schools!C70=""),"1",(SUMIF(data!$A$8:$AB$13001,schools!C70,data!$AB$8:$AB$13001)))</f>
        <v>1</v>
      </c>
      <c r="J75" s="483">
        <f t="shared" si="2"/>
        <v>0</v>
      </c>
    </row>
    <row r="76" spans="1:10" ht="15" customHeight="1">
      <c r="A76" s="1">
        <v>39</v>
      </c>
      <c r="B76" s="1" t="s">
        <v>1352</v>
      </c>
      <c r="C76" s="1" t="s">
        <v>1351</v>
      </c>
      <c r="D76" s="1">
        <v>0</v>
      </c>
      <c r="E76" s="1" t="s">
        <v>2230</v>
      </c>
      <c r="I76" s="482" t="str">
        <f>IF(OR(schools!C71="000",schools!C71=""),"1",(SUMIF(data!$A$8:$AB$13001,schools!C71,data!$AB$8:$AB$13001)))</f>
        <v>1</v>
      </c>
      <c r="J76" s="483">
        <f t="shared" si="2"/>
        <v>0</v>
      </c>
    </row>
    <row r="77" spans="1:10" ht="15" customHeight="1">
      <c r="A77" s="1">
        <v>40</v>
      </c>
      <c r="B77" s="1" t="s">
        <v>1354</v>
      </c>
      <c r="C77" s="1" t="s">
        <v>1353</v>
      </c>
      <c r="D77" s="1">
        <v>1</v>
      </c>
      <c r="E77" s="1" t="s">
        <v>2230</v>
      </c>
      <c r="I77" s="482" t="str">
        <f>IF(OR(schools!C72="000",schools!C72=""),"1",(SUMIF(data!$A$8:$AB$13001,schools!C72,data!$AB$8:$AB$13001)))</f>
        <v>1</v>
      </c>
      <c r="J77" s="483">
        <f t="shared" si="2"/>
        <v>0</v>
      </c>
    </row>
    <row r="78" spans="1:10" ht="15" customHeight="1">
      <c r="A78" s="1">
        <v>41</v>
      </c>
      <c r="B78" s="1" t="s">
        <v>1356</v>
      </c>
      <c r="C78" s="1" t="s">
        <v>1355</v>
      </c>
      <c r="D78" s="1">
        <v>1</v>
      </c>
      <c r="E78" s="1" t="s">
        <v>2230</v>
      </c>
      <c r="I78" s="482" t="str">
        <f>IF(OR(schools!C73="000",schools!C73=""),"1",(SUMIF(data!$A$8:$AB$13001,schools!C73,data!$AB$8:$AB$13001)))</f>
        <v>1</v>
      </c>
      <c r="J78" s="483">
        <f t="shared" si="2"/>
        <v>0</v>
      </c>
    </row>
    <row r="79" spans="1:10" ht="15" customHeight="1">
      <c r="A79" s="1">
        <v>42</v>
      </c>
      <c r="B79" s="1" t="s">
        <v>1358</v>
      </c>
      <c r="C79" s="1" t="s">
        <v>1357</v>
      </c>
      <c r="D79" s="1">
        <v>0</v>
      </c>
      <c r="E79" s="1" t="s">
        <v>2230</v>
      </c>
      <c r="I79" s="482" t="str">
        <f>IF(OR(schools!C74="000",schools!C74=""),"1",(SUMIF(data!$A$8:$AB$13001,schools!C74,data!$AB$8:$AB$13001)))</f>
        <v>1</v>
      </c>
      <c r="J79" s="483">
        <f t="shared" si="2"/>
        <v>0</v>
      </c>
    </row>
    <row r="80" spans="1:10" ht="15" customHeight="1">
      <c r="A80" s="1">
        <v>43</v>
      </c>
      <c r="B80" s="1" t="s">
        <v>1360</v>
      </c>
      <c r="C80" s="1" t="s">
        <v>1359</v>
      </c>
      <c r="D80" s="1">
        <v>1</v>
      </c>
      <c r="E80" s="1" t="s">
        <v>2230</v>
      </c>
      <c r="I80" s="482" t="str">
        <f>IF(OR(schools!C75="000",schools!C75=""),"1",(SUMIF(data!$A$8:$AB$13001,schools!C75,data!$AB$8:$AB$13001)))</f>
        <v>1</v>
      </c>
      <c r="J80" s="483">
        <f t="shared" si="2"/>
        <v>0</v>
      </c>
    </row>
    <row r="81" spans="1:10" ht="15" customHeight="1">
      <c r="A81" s="1">
        <v>44</v>
      </c>
      <c r="B81" s="1" t="s">
        <v>1362</v>
      </c>
      <c r="C81" s="1" t="s">
        <v>1361</v>
      </c>
      <c r="D81" s="1">
        <v>1</v>
      </c>
      <c r="E81" s="1" t="s">
        <v>2230</v>
      </c>
      <c r="I81" s="482" t="str">
        <f>IF(OR(schools!C76="000",schools!C76=""),"1",(SUMIF(data!$A$8:$AB$13001,schools!C76,data!$AB$8:$AB$13001)))</f>
        <v>1</v>
      </c>
      <c r="J81" s="483">
        <f t="shared" si="2"/>
        <v>0</v>
      </c>
    </row>
    <row r="82" spans="1:10" ht="15" customHeight="1">
      <c r="A82" s="1">
        <v>45</v>
      </c>
      <c r="B82" s="1" t="s">
        <v>1364</v>
      </c>
      <c r="C82" s="1" t="s">
        <v>1363</v>
      </c>
      <c r="D82" s="1">
        <v>1</v>
      </c>
      <c r="E82" s="1" t="s">
        <v>2230</v>
      </c>
      <c r="I82" s="482" t="str">
        <f>IF(OR(schools!C77="000",schools!C77=""),"1",(SUMIF(data!$A$8:$AB$13001,schools!C77,data!$AB$8:$AB$13001)))</f>
        <v>1</v>
      </c>
      <c r="J82" s="483">
        <f t="shared" si="2"/>
        <v>0</v>
      </c>
    </row>
    <row r="83" spans="1:10" ht="15" customHeight="1">
      <c r="A83" s="1">
        <v>46</v>
      </c>
      <c r="B83" s="1" t="s">
        <v>1366</v>
      </c>
      <c r="C83" s="1" t="s">
        <v>1365</v>
      </c>
      <c r="D83" s="1">
        <v>1</v>
      </c>
      <c r="E83" s="1" t="s">
        <v>2231</v>
      </c>
      <c r="I83" s="482" t="str">
        <f>IF(OR(schools!C78="000",schools!C78=""),"1",(SUMIF(data!$A$8:$AB$13001,schools!C78,data!$AB$8:$AB$13001)))</f>
        <v>1</v>
      </c>
      <c r="J83" s="483">
        <f t="shared" si="2"/>
        <v>0</v>
      </c>
    </row>
    <row r="84" spans="1:10" ht="15" customHeight="1">
      <c r="A84" s="1">
        <v>47</v>
      </c>
      <c r="B84" s="1" t="s">
        <v>1368</v>
      </c>
      <c r="C84" s="1" t="s">
        <v>1367</v>
      </c>
      <c r="D84" s="1">
        <v>0</v>
      </c>
      <c r="E84" s="1" t="s">
        <v>2230</v>
      </c>
      <c r="I84" s="482" t="str">
        <f>IF(OR(schools!C79="000",schools!C79=""),"1",(SUMIF(data!$A$8:$AB$13001,schools!C79,data!$AB$8:$AB$13001)))</f>
        <v>1</v>
      </c>
      <c r="J84" s="483">
        <f t="shared" si="2"/>
        <v>0</v>
      </c>
    </row>
    <row r="85" spans="1:10" ht="15" customHeight="1">
      <c r="A85" s="1">
        <v>48</v>
      </c>
      <c r="B85" s="1" t="s">
        <v>1370</v>
      </c>
      <c r="C85" s="1" t="s">
        <v>1369</v>
      </c>
      <c r="D85" s="1">
        <v>1</v>
      </c>
      <c r="E85" s="1" t="s">
        <v>2230</v>
      </c>
      <c r="I85" s="482" t="str">
        <f>IF(OR(schools!C80="000",schools!C80=""),"1",(SUMIF(data!$A$8:$AB$13001,schools!C80,data!$AB$8:$AB$13001)))</f>
        <v>1</v>
      </c>
      <c r="J85" s="483">
        <f t="shared" si="2"/>
        <v>0</v>
      </c>
    </row>
    <row r="86" spans="1:10" ht="15" customHeight="1">
      <c r="A86" s="1">
        <v>49</v>
      </c>
      <c r="B86" s="1" t="s">
        <v>1372</v>
      </c>
      <c r="C86" s="1" t="s">
        <v>1371</v>
      </c>
      <c r="D86" s="1">
        <v>1</v>
      </c>
      <c r="E86" s="1" t="s">
        <v>2231</v>
      </c>
      <c r="I86" s="482" t="str">
        <f>IF(OR(schools!C81="000",schools!C81=""),"1",(SUMIF(data!$A$8:$AB$13001,schools!C81,data!$AB$8:$AB$13001)))</f>
        <v>1</v>
      </c>
      <c r="J86" s="483">
        <f t="shared" si="2"/>
        <v>0</v>
      </c>
    </row>
    <row r="87" spans="1:10" ht="15" customHeight="1">
      <c r="A87" s="1">
        <v>50</v>
      </c>
      <c r="B87" s="1" t="s">
        <v>1374</v>
      </c>
      <c r="C87" s="1" t="s">
        <v>1373</v>
      </c>
      <c r="D87" s="1">
        <v>1</v>
      </c>
      <c r="E87" s="1" t="s">
        <v>2230</v>
      </c>
      <c r="I87" s="482" t="str">
        <f>IF(OR(schools!C82="000",schools!C82=""),"1",(SUMIF(data!$A$8:$AB$13001,schools!C82,data!$AB$8:$AB$13001)))</f>
        <v>1</v>
      </c>
      <c r="J87" s="483">
        <f t="shared" si="2"/>
        <v>0</v>
      </c>
    </row>
    <row r="88" spans="1:10" ht="15" customHeight="1">
      <c r="A88" s="1">
        <v>51</v>
      </c>
      <c r="B88" s="1" t="s">
        <v>1376</v>
      </c>
      <c r="C88" s="1" t="s">
        <v>1375</v>
      </c>
      <c r="D88" s="1">
        <v>1</v>
      </c>
      <c r="E88" s="1" t="s">
        <v>2230</v>
      </c>
      <c r="I88" s="482" t="str">
        <f>IF(OR(schools!C83="000",schools!C83=""),"1",(SUMIF(data!$A$8:$AB$13001,schools!C83,data!$AB$8:$AB$13001)))</f>
        <v>1</v>
      </c>
      <c r="J88" s="483">
        <f t="shared" si="2"/>
        <v>0</v>
      </c>
    </row>
    <row r="89" spans="1:10" ht="15" customHeight="1">
      <c r="A89" s="1">
        <v>52</v>
      </c>
      <c r="B89" s="1" t="s">
        <v>1378</v>
      </c>
      <c r="C89" s="1" t="s">
        <v>1377</v>
      </c>
      <c r="D89" s="1">
        <v>1</v>
      </c>
      <c r="E89" s="1" t="s">
        <v>2230</v>
      </c>
      <c r="I89" s="482" t="str">
        <f>IF(OR(schools!C84="000",schools!C84=""),"1",(SUMIF(data!$A$8:$AB$13001,schools!C84,data!$AB$8:$AB$13001)))</f>
        <v>1</v>
      </c>
      <c r="J89" s="483">
        <f t="shared" si="2"/>
        <v>0</v>
      </c>
    </row>
    <row r="90" spans="1:10" ht="15" customHeight="1">
      <c r="A90" s="1">
        <v>53</v>
      </c>
      <c r="B90" s="1" t="s">
        <v>1380</v>
      </c>
      <c r="C90" s="1" t="s">
        <v>1379</v>
      </c>
      <c r="D90" s="1">
        <v>0</v>
      </c>
      <c r="E90" s="1" t="s">
        <v>2230</v>
      </c>
      <c r="I90" s="482" t="str">
        <f>IF(OR(schools!C85="000",schools!C85=""),"1",(SUMIF(data!$A$8:$AB$13001,schools!C85,data!$AB$8:$AB$13001)))</f>
        <v>1</v>
      </c>
      <c r="J90" s="483">
        <f t="shared" si="2"/>
        <v>0</v>
      </c>
    </row>
    <row r="91" spans="1:10" ht="15" customHeight="1">
      <c r="A91" s="1">
        <v>54</v>
      </c>
      <c r="B91" s="1" t="s">
        <v>1382</v>
      </c>
      <c r="C91" s="1" t="s">
        <v>1381</v>
      </c>
      <c r="D91" s="1">
        <v>0</v>
      </c>
      <c r="E91" s="1" t="s">
        <v>2230</v>
      </c>
      <c r="I91" s="482" t="str">
        <f>IF(OR(schools!C86="000",schools!C86=""),"1",(SUMIF(data!$A$8:$AB$13001,schools!C86,data!$AB$8:$AB$13001)))</f>
        <v>1</v>
      </c>
      <c r="J91" s="483">
        <f t="shared" si="2"/>
        <v>0</v>
      </c>
    </row>
    <row r="92" spans="1:10" ht="15" customHeight="1">
      <c r="A92" s="1">
        <v>55</v>
      </c>
      <c r="B92" s="1" t="s">
        <v>1384</v>
      </c>
      <c r="C92" s="1" t="s">
        <v>1383</v>
      </c>
      <c r="D92" s="1">
        <v>0</v>
      </c>
      <c r="E92" s="1" t="s">
        <v>2230</v>
      </c>
      <c r="I92" s="482" t="str">
        <f>IF(OR(schools!C87="000",schools!C87=""),"1",(SUMIF(data!$A$8:$AB$13001,schools!C87,data!$AB$8:$AB$13001)))</f>
        <v>1</v>
      </c>
      <c r="J92" s="483">
        <f t="shared" si="2"/>
        <v>0</v>
      </c>
    </row>
    <row r="93" spans="1:10" ht="15" customHeight="1">
      <c r="A93" s="1">
        <v>56</v>
      </c>
      <c r="B93" s="1" t="s">
        <v>1386</v>
      </c>
      <c r="C93" s="1" t="s">
        <v>1385</v>
      </c>
      <c r="D93" s="1">
        <v>1</v>
      </c>
      <c r="E93" s="1" t="s">
        <v>2230</v>
      </c>
      <c r="I93" s="482" t="str">
        <f>IF(OR(schools!C88="000",schools!C88=""),"1",(SUMIF(data!$A$8:$AB$13001,schools!C88,data!$AB$8:$AB$13001)))</f>
        <v>1</v>
      </c>
      <c r="J93" s="483">
        <f t="shared" si="2"/>
        <v>0</v>
      </c>
    </row>
    <row r="94" spans="1:10" ht="15" customHeight="1">
      <c r="A94" s="1">
        <v>57</v>
      </c>
      <c r="B94" s="1" t="s">
        <v>1388</v>
      </c>
      <c r="C94" s="1" t="s">
        <v>1387</v>
      </c>
      <c r="D94" s="1">
        <v>1</v>
      </c>
      <c r="E94" s="1" t="s">
        <v>2230</v>
      </c>
      <c r="I94" s="482" t="str">
        <f>IF(OR(schools!C89="000",schools!C89=""),"1",(SUMIF(data!$A$8:$AB$13001,schools!C89,data!$AB$8:$AB$13001)))</f>
        <v>1</v>
      </c>
      <c r="J94" s="483">
        <f t="shared" si="2"/>
        <v>0</v>
      </c>
    </row>
    <row r="95" spans="1:10" ht="15" customHeight="1">
      <c r="A95" s="1">
        <v>58</v>
      </c>
      <c r="B95" s="1" t="s">
        <v>1390</v>
      </c>
      <c r="C95" s="1" t="s">
        <v>1389</v>
      </c>
      <c r="D95" s="1">
        <v>0</v>
      </c>
      <c r="E95" s="1" t="s">
        <v>2230</v>
      </c>
      <c r="I95" s="482" t="str">
        <f>IF(OR(schools!C90="000",schools!C90=""),"1",(SUMIF(data!$A$8:$AB$13001,schools!C90,data!$AB$8:$AB$13001)))</f>
        <v>1</v>
      </c>
      <c r="J95" s="483">
        <f t="shared" si="2"/>
        <v>0</v>
      </c>
    </row>
    <row r="96" spans="1:10" ht="15" customHeight="1">
      <c r="A96" s="1">
        <v>59</v>
      </c>
      <c r="B96" s="1" t="s">
        <v>1392</v>
      </c>
      <c r="C96" s="1" t="s">
        <v>1391</v>
      </c>
      <c r="D96" s="1">
        <v>0</v>
      </c>
      <c r="E96" s="1" t="s">
        <v>2230</v>
      </c>
      <c r="I96" s="482" t="str">
        <f>IF(OR(schools!C91="000",schools!C91=""),"1",(SUMIF(data!$A$8:$AB$13001,schools!C91,data!$AB$8:$AB$13001)))</f>
        <v>1</v>
      </c>
      <c r="J96" s="483">
        <f t="shared" si="2"/>
        <v>0</v>
      </c>
    </row>
    <row r="97" spans="1:10" ht="15" customHeight="1">
      <c r="A97" s="1">
        <v>60</v>
      </c>
      <c r="B97" s="1" t="s">
        <v>1394</v>
      </c>
      <c r="C97" s="1" t="s">
        <v>1393</v>
      </c>
      <c r="D97" s="1">
        <v>0</v>
      </c>
      <c r="E97" s="1" t="s">
        <v>2230</v>
      </c>
      <c r="I97" s="482" t="str">
        <f>IF(OR(schools!C92="000",schools!C92=""),"1",(SUMIF(data!$A$8:$AB$13001,schools!C92,data!$AB$8:$AB$13001)))</f>
        <v>1</v>
      </c>
      <c r="J97" s="483">
        <f t="shared" si="2"/>
        <v>0</v>
      </c>
    </row>
    <row r="98" spans="1:10" ht="15" customHeight="1">
      <c r="A98" s="1">
        <v>61</v>
      </c>
      <c r="B98" s="1" t="s">
        <v>1396</v>
      </c>
      <c r="C98" s="1" t="s">
        <v>1395</v>
      </c>
      <c r="D98" s="1">
        <v>1</v>
      </c>
      <c r="E98" s="1" t="s">
        <v>2231</v>
      </c>
      <c r="I98" s="482" t="str">
        <f>IF(OR(schools!C93="000",schools!C93=""),"1",(SUMIF(data!$A$8:$AB$13001,schools!C93,data!$AB$8:$AB$13001)))</f>
        <v>1</v>
      </c>
      <c r="J98" s="483">
        <f t="shared" si="2"/>
        <v>0</v>
      </c>
    </row>
    <row r="99" spans="1:10" ht="15" customHeight="1">
      <c r="A99" s="1">
        <v>62</v>
      </c>
      <c r="B99" s="1" t="s">
        <v>1398</v>
      </c>
      <c r="C99" s="1" t="s">
        <v>1397</v>
      </c>
      <c r="D99" s="1">
        <v>0</v>
      </c>
      <c r="E99" s="1" t="s">
        <v>2230</v>
      </c>
      <c r="I99" s="482" t="str">
        <f>IF(OR(schools!C94="000",schools!C94=""),"1",(SUMIF(data!$A$8:$AB$13001,schools!C94,data!$AB$8:$AB$13001)))</f>
        <v>1</v>
      </c>
      <c r="J99" s="483">
        <f t="shared" si="2"/>
        <v>0</v>
      </c>
    </row>
    <row r="100" spans="1:10" ht="15" customHeight="1">
      <c r="A100" s="1">
        <v>63</v>
      </c>
      <c r="B100" s="1" t="s">
        <v>1400</v>
      </c>
      <c r="C100" s="1" t="s">
        <v>1399</v>
      </c>
      <c r="D100" s="1">
        <v>1</v>
      </c>
      <c r="E100" s="1" t="s">
        <v>2230</v>
      </c>
      <c r="I100" s="482" t="str">
        <f>IF(OR(schools!C95="000",schools!C95=""),"1",(SUMIF(data!$A$8:$AB$13001,schools!C95,data!$AB$8:$AB$13001)))</f>
        <v>1</v>
      </c>
      <c r="J100" s="483">
        <f t="shared" si="2"/>
        <v>0</v>
      </c>
    </row>
    <row r="101" spans="1:10" ht="15" customHeight="1">
      <c r="A101" s="1">
        <v>64</v>
      </c>
      <c r="B101" s="1" t="s">
        <v>1402</v>
      </c>
      <c r="C101" s="1" t="s">
        <v>1401</v>
      </c>
      <c r="D101" s="1">
        <v>1</v>
      </c>
      <c r="E101" s="1" t="s">
        <v>2231</v>
      </c>
      <c r="I101" s="482" t="str">
        <f>IF(OR(schools!C96="000",schools!C96=""),"1",(SUMIF(data!$A$8:$AB$13001,schools!C96,data!$AB$8:$AB$13001)))</f>
        <v>1</v>
      </c>
      <c r="J101" s="483">
        <f t="shared" si="2"/>
        <v>0</v>
      </c>
    </row>
    <row r="102" spans="1:10" ht="15" customHeight="1">
      <c r="A102" s="1">
        <v>65</v>
      </c>
      <c r="B102" s="1" t="s">
        <v>1404</v>
      </c>
      <c r="C102" s="1" t="s">
        <v>1403</v>
      </c>
      <c r="D102" s="1">
        <v>1</v>
      </c>
      <c r="E102" s="1" t="s">
        <v>2230</v>
      </c>
      <c r="I102" s="482" t="str">
        <f>IF(OR(schools!C97="000",schools!C97=""),"1",(SUMIF(data!$A$8:$AB$13001,schools!C97,data!$AB$8:$AB$13001)))</f>
        <v>1</v>
      </c>
      <c r="J102" s="483">
        <f t="shared" si="2"/>
        <v>0</v>
      </c>
    </row>
    <row r="103" spans="1:10" ht="15" customHeight="1">
      <c r="A103" s="1">
        <v>66</v>
      </c>
      <c r="B103" s="1" t="s">
        <v>1406</v>
      </c>
      <c r="C103" s="1" t="s">
        <v>1405</v>
      </c>
      <c r="D103" s="1">
        <v>0</v>
      </c>
      <c r="E103" s="1" t="s">
        <v>2230</v>
      </c>
      <c r="I103" s="482" t="str">
        <f>IF(OR(schools!C98="000",schools!C98=""),"1",(SUMIF(data!$A$8:$AB$13001,schools!C98,data!$AB$8:$AB$13001)))</f>
        <v>1</v>
      </c>
      <c r="J103" s="483">
        <f t="shared" ref="J103:J134" si="3">IF(I103&gt;0,0,1)</f>
        <v>0</v>
      </c>
    </row>
    <row r="104" spans="1:10" ht="15" customHeight="1">
      <c r="A104" s="1">
        <v>67</v>
      </c>
      <c r="B104" s="1" t="s">
        <v>1408</v>
      </c>
      <c r="C104" s="1" t="s">
        <v>1407</v>
      </c>
      <c r="D104" s="1">
        <v>1</v>
      </c>
      <c r="E104" s="1" t="s">
        <v>2230</v>
      </c>
      <c r="I104" s="482" t="str">
        <f>IF(OR(schools!C99="000",schools!C99=""),"1",(SUMIF(data!$A$8:$AB$13001,schools!C99,data!$AB$8:$AB$13001)))</f>
        <v>1</v>
      </c>
      <c r="J104" s="483">
        <f t="shared" si="3"/>
        <v>0</v>
      </c>
    </row>
    <row r="105" spans="1:10" ht="15" customHeight="1">
      <c r="A105" s="1">
        <v>68</v>
      </c>
      <c r="B105" s="1" t="s">
        <v>1410</v>
      </c>
      <c r="C105" s="1" t="s">
        <v>1409</v>
      </c>
      <c r="D105" s="1">
        <v>1</v>
      </c>
      <c r="E105" s="1" t="s">
        <v>2230</v>
      </c>
      <c r="I105" s="482" t="str">
        <f>IF(OR(schools!C100="000",schools!C100=""),"1",(SUMIF(data!$A$8:$AB$13001,schools!C100,data!$AB$8:$AB$13001)))</f>
        <v>1</v>
      </c>
      <c r="J105" s="483">
        <f t="shared" si="3"/>
        <v>0</v>
      </c>
    </row>
    <row r="106" spans="1:10" ht="15" customHeight="1">
      <c r="A106" s="1">
        <v>69</v>
      </c>
      <c r="B106" s="1" t="s">
        <v>1412</v>
      </c>
      <c r="C106" s="1" t="s">
        <v>1411</v>
      </c>
      <c r="D106" s="1">
        <v>0</v>
      </c>
      <c r="E106" s="1" t="s">
        <v>2230</v>
      </c>
      <c r="I106" s="482" t="str">
        <f>IF(OR(schools!C101="000",schools!C101=""),"1",(SUMIF(data!$A$8:$AB$13001,schools!C101,data!$AB$8:$AB$13001)))</f>
        <v>1</v>
      </c>
      <c r="J106" s="483">
        <f t="shared" si="3"/>
        <v>0</v>
      </c>
    </row>
    <row r="107" spans="1:10" ht="15" customHeight="1">
      <c r="A107" s="1">
        <v>70</v>
      </c>
      <c r="B107" s="1" t="s">
        <v>1414</v>
      </c>
      <c r="C107" s="1" t="s">
        <v>1413</v>
      </c>
      <c r="D107" s="1">
        <v>0</v>
      </c>
      <c r="E107" s="1" t="s">
        <v>2230</v>
      </c>
      <c r="I107" s="482" t="str">
        <f>IF(OR(schools!C102="000",schools!C102=""),"1",(SUMIF(data!$A$8:$AB$13001,schools!C102,data!$AB$8:$AB$13001)))</f>
        <v>1</v>
      </c>
      <c r="J107" s="483">
        <f t="shared" si="3"/>
        <v>0</v>
      </c>
    </row>
    <row r="108" spans="1:10" ht="15" customHeight="1">
      <c r="A108" s="1">
        <v>71</v>
      </c>
      <c r="B108" s="1" t="s">
        <v>1416</v>
      </c>
      <c r="C108" s="1" t="s">
        <v>1415</v>
      </c>
      <c r="D108" s="1">
        <v>1</v>
      </c>
      <c r="E108" s="1" t="s">
        <v>2230</v>
      </c>
      <c r="I108" s="482" t="str">
        <f>IF(OR(schools!C103="000",schools!C103=""),"1",(SUMIF(data!$A$8:$AB$13001,schools!C103,data!$AB$8:$AB$13001)))</f>
        <v>1</v>
      </c>
      <c r="J108" s="483">
        <f t="shared" si="3"/>
        <v>0</v>
      </c>
    </row>
    <row r="109" spans="1:10" ht="15" customHeight="1">
      <c r="A109" s="1">
        <v>72</v>
      </c>
      <c r="B109" s="1" t="s">
        <v>1418</v>
      </c>
      <c r="C109" s="1" t="s">
        <v>1417</v>
      </c>
      <c r="D109" s="1">
        <v>1</v>
      </c>
      <c r="E109" s="1" t="s">
        <v>2230</v>
      </c>
      <c r="I109" s="482" t="str">
        <f>IF(OR(schools!C104="000",schools!C104=""),"1",(SUMIF(data!$A$8:$AB$13001,schools!C104,data!$AB$8:$AB$13001)))</f>
        <v>1</v>
      </c>
      <c r="J109" s="483">
        <f t="shared" si="3"/>
        <v>0</v>
      </c>
    </row>
    <row r="110" spans="1:10" ht="15" customHeight="1">
      <c r="A110" s="1">
        <v>73</v>
      </c>
      <c r="B110" s="1" t="s">
        <v>1420</v>
      </c>
      <c r="C110" s="1" t="s">
        <v>1419</v>
      </c>
      <c r="D110" s="1">
        <v>1</v>
      </c>
      <c r="E110" s="1" t="s">
        <v>2230</v>
      </c>
      <c r="I110" s="482" t="str">
        <f>IF(OR(schools!C105="000",schools!C105=""),"1",(SUMIF(data!$A$8:$AB$13001,schools!C105,data!$AB$8:$AB$13001)))</f>
        <v>1</v>
      </c>
      <c r="J110" s="483">
        <f t="shared" si="3"/>
        <v>0</v>
      </c>
    </row>
    <row r="111" spans="1:10" ht="15" customHeight="1">
      <c r="A111" s="1">
        <v>74</v>
      </c>
      <c r="B111" s="1" t="s">
        <v>1422</v>
      </c>
      <c r="C111" s="1" t="s">
        <v>1421</v>
      </c>
      <c r="D111" s="1">
        <v>1</v>
      </c>
      <c r="E111" s="1" t="s">
        <v>2230</v>
      </c>
      <c r="I111" s="482" t="str">
        <f>IF(OR(schools!C106="000",schools!C106=""),"1",(SUMIF(data!$A$8:$AB$13001,schools!C106,data!$AB$8:$AB$13001)))</f>
        <v>1</v>
      </c>
      <c r="J111" s="483">
        <f t="shared" si="3"/>
        <v>0</v>
      </c>
    </row>
    <row r="112" spans="1:10" ht="15" customHeight="1">
      <c r="A112" s="1">
        <v>75</v>
      </c>
      <c r="B112" s="1" t="s">
        <v>1424</v>
      </c>
      <c r="C112" s="1" t="s">
        <v>1423</v>
      </c>
      <c r="D112" s="1">
        <v>0</v>
      </c>
      <c r="E112" s="1" t="s">
        <v>2230</v>
      </c>
      <c r="I112" s="482" t="str">
        <f>IF(OR(schools!C107="000",schools!C107=""),"1",(SUMIF(data!$A$8:$AB$13001,schools!C107,data!$AB$8:$AB$13001)))</f>
        <v>1</v>
      </c>
      <c r="J112" s="483">
        <f t="shared" si="3"/>
        <v>0</v>
      </c>
    </row>
    <row r="113" spans="1:10" ht="15" customHeight="1">
      <c r="A113" s="1">
        <v>76</v>
      </c>
      <c r="B113" s="1" t="s">
        <v>1426</v>
      </c>
      <c r="C113" s="1" t="s">
        <v>1425</v>
      </c>
      <c r="D113" s="1">
        <v>0</v>
      </c>
      <c r="E113" s="1" t="s">
        <v>2230</v>
      </c>
      <c r="I113" s="482" t="str">
        <f>IF(OR(schools!C108="000",schools!C108=""),"1",(SUMIF(data!$A$8:$AB$13001,schools!C108,data!$AB$8:$AB$13001)))</f>
        <v>1</v>
      </c>
      <c r="J113" s="483">
        <f t="shared" si="3"/>
        <v>0</v>
      </c>
    </row>
    <row r="114" spans="1:10" ht="15" customHeight="1">
      <c r="A114" s="1">
        <v>77</v>
      </c>
      <c r="B114" s="1" t="s">
        <v>1428</v>
      </c>
      <c r="C114" s="1" t="s">
        <v>1427</v>
      </c>
      <c r="D114" s="1">
        <v>1</v>
      </c>
      <c r="E114" s="1" t="s">
        <v>2230</v>
      </c>
      <c r="I114" s="482" t="str">
        <f>IF(OR(schools!C109="000",schools!C109=""),"1",(SUMIF(data!$A$8:$AB$13001,schools!C109,data!$AB$8:$AB$13001)))</f>
        <v>1</v>
      </c>
      <c r="J114" s="483">
        <f t="shared" si="3"/>
        <v>0</v>
      </c>
    </row>
    <row r="115" spans="1:10" ht="15" customHeight="1">
      <c r="A115" s="1">
        <v>78</v>
      </c>
      <c r="B115" s="1" t="s">
        <v>1430</v>
      </c>
      <c r="C115" s="1" t="s">
        <v>1429</v>
      </c>
      <c r="D115" s="1">
        <v>1</v>
      </c>
      <c r="E115" s="1" t="s">
        <v>2230</v>
      </c>
      <c r="I115" s="482" t="str">
        <f>IF(OR(schools!C110="000",schools!C110=""),"1",(SUMIF(data!$A$8:$AB$13001,schools!C110,data!$AB$8:$AB$13001)))</f>
        <v>1</v>
      </c>
      <c r="J115" s="483">
        <f t="shared" si="3"/>
        <v>0</v>
      </c>
    </row>
    <row r="116" spans="1:10" ht="15" customHeight="1">
      <c r="A116" s="1">
        <v>79</v>
      </c>
      <c r="B116" s="1" t="s">
        <v>1432</v>
      </c>
      <c r="C116" s="1" t="s">
        <v>1431</v>
      </c>
      <c r="D116" s="1">
        <v>1</v>
      </c>
      <c r="E116" s="1" t="s">
        <v>2230</v>
      </c>
      <c r="I116" s="482" t="str">
        <f>IF(OR(schools!C111="000",schools!C111=""),"1",(SUMIF(data!$A$8:$AB$13001,schools!C111,data!$AB$8:$AB$13001)))</f>
        <v>1</v>
      </c>
      <c r="J116" s="483">
        <f t="shared" si="3"/>
        <v>0</v>
      </c>
    </row>
    <row r="117" spans="1:10" ht="15" customHeight="1">
      <c r="A117" s="1">
        <v>80</v>
      </c>
      <c r="B117" s="1" t="s">
        <v>1434</v>
      </c>
      <c r="C117" s="1" t="s">
        <v>1433</v>
      </c>
      <c r="D117" s="1">
        <v>0</v>
      </c>
      <c r="E117" s="1" t="s">
        <v>2230</v>
      </c>
      <c r="I117" s="482" t="str">
        <f>IF(OR(schools!C112="000",schools!C112=""),"1",(SUMIF(data!$A$8:$AB$13001,schools!C112,data!$AB$8:$AB$13001)))</f>
        <v>1</v>
      </c>
      <c r="J117" s="483">
        <f t="shared" si="3"/>
        <v>0</v>
      </c>
    </row>
    <row r="118" spans="1:10" ht="15" customHeight="1">
      <c r="A118" s="1">
        <v>81</v>
      </c>
      <c r="B118" s="1" t="s">
        <v>1436</v>
      </c>
      <c r="C118" s="1" t="s">
        <v>1435</v>
      </c>
      <c r="D118" s="1">
        <v>0</v>
      </c>
      <c r="E118" s="1" t="s">
        <v>2230</v>
      </c>
      <c r="I118" s="482" t="str">
        <f>IF(OR(schools!C113="000",schools!C113=""),"1",(SUMIF(data!$A$8:$AB$13001,schools!C113,data!$AB$8:$AB$13001)))</f>
        <v>1</v>
      </c>
      <c r="J118" s="483">
        <f t="shared" si="3"/>
        <v>0</v>
      </c>
    </row>
    <row r="119" spans="1:10" ht="15" customHeight="1">
      <c r="A119" s="1">
        <v>82</v>
      </c>
      <c r="B119" s="1" t="s">
        <v>1438</v>
      </c>
      <c r="C119" s="1" t="s">
        <v>1437</v>
      </c>
      <c r="D119" s="1">
        <v>1</v>
      </c>
      <c r="E119" s="1" t="s">
        <v>2231</v>
      </c>
      <c r="I119" s="482" t="str">
        <f>IF(OR(schools!C114="000",schools!C114=""),"1",(SUMIF(data!$A$8:$AB$13001,schools!C114,data!$AB$8:$AB$13001)))</f>
        <v>1</v>
      </c>
      <c r="J119" s="483">
        <f t="shared" si="3"/>
        <v>0</v>
      </c>
    </row>
    <row r="120" spans="1:10" ht="15" customHeight="1">
      <c r="A120" s="1">
        <v>83</v>
      </c>
      <c r="B120" s="1" t="s">
        <v>1440</v>
      </c>
      <c r="C120" s="1" t="s">
        <v>1439</v>
      </c>
      <c r="D120" s="1">
        <v>1</v>
      </c>
      <c r="E120" s="1" t="s">
        <v>2230</v>
      </c>
      <c r="I120" s="482" t="str">
        <f>IF(OR(schools!C115="000",schools!C115=""),"1",(SUMIF(data!$A$8:$AB$13001,schools!C115,data!$AB$8:$AB$13001)))</f>
        <v>1</v>
      </c>
      <c r="J120" s="483">
        <f t="shared" si="3"/>
        <v>0</v>
      </c>
    </row>
    <row r="121" spans="1:10" ht="15" customHeight="1">
      <c r="A121" s="1">
        <v>84</v>
      </c>
      <c r="B121" s="1" t="s">
        <v>1442</v>
      </c>
      <c r="C121" s="1" t="s">
        <v>1441</v>
      </c>
      <c r="D121" s="1">
        <v>0</v>
      </c>
      <c r="E121" s="1" t="s">
        <v>2230</v>
      </c>
      <c r="I121" s="482" t="str">
        <f>IF(OR(schools!C116="000",schools!C116=""),"1",(SUMIF(data!$A$8:$AB$13001,schools!C116,data!$AB$8:$AB$13001)))</f>
        <v>1</v>
      </c>
      <c r="J121" s="483">
        <f t="shared" si="3"/>
        <v>0</v>
      </c>
    </row>
    <row r="122" spans="1:10" ht="15" customHeight="1">
      <c r="A122" s="1">
        <v>85</v>
      </c>
      <c r="B122" s="1" t="s">
        <v>1444</v>
      </c>
      <c r="C122" s="1" t="s">
        <v>1443</v>
      </c>
      <c r="D122" s="1">
        <v>1</v>
      </c>
      <c r="E122" s="1" t="s">
        <v>2230</v>
      </c>
      <c r="I122" s="482" t="str">
        <f>IF(OR(schools!C117="000",schools!C117=""),"1",(SUMIF(data!$A$8:$AB$13001,schools!C117,data!$AB$8:$AB$13001)))</f>
        <v>1</v>
      </c>
      <c r="J122" s="483">
        <f t="shared" si="3"/>
        <v>0</v>
      </c>
    </row>
    <row r="123" spans="1:10" ht="15" customHeight="1">
      <c r="A123" s="1">
        <v>86</v>
      </c>
      <c r="B123" s="1" t="s">
        <v>1446</v>
      </c>
      <c r="C123" s="1" t="s">
        <v>1445</v>
      </c>
      <c r="D123" s="1">
        <v>1</v>
      </c>
      <c r="E123" s="1" t="s">
        <v>2231</v>
      </c>
      <c r="I123" s="482" t="str">
        <f>IF(OR(schools!C118="000",schools!C118=""),"1",(SUMIF(data!$A$8:$AB$13001,schools!C118,data!$AB$8:$AB$13001)))</f>
        <v>1</v>
      </c>
      <c r="J123" s="483">
        <f t="shared" si="3"/>
        <v>0</v>
      </c>
    </row>
    <row r="124" spans="1:10" ht="15" customHeight="1">
      <c r="A124" s="1">
        <v>87</v>
      </c>
      <c r="B124" s="1" t="s">
        <v>1448</v>
      </c>
      <c r="C124" s="1" t="s">
        <v>1447</v>
      </c>
      <c r="D124" s="1">
        <v>1</v>
      </c>
      <c r="E124" s="1" t="s">
        <v>2231</v>
      </c>
      <c r="I124" s="482" t="str">
        <f>IF(OR(schools!C119="000",schools!C119=""),"1",(SUMIF(data!$A$8:$AB$13001,schools!C119,data!$AB$8:$AB$13001)))</f>
        <v>1</v>
      </c>
      <c r="J124" s="483">
        <f t="shared" si="3"/>
        <v>0</v>
      </c>
    </row>
    <row r="125" spans="1:10" ht="15" customHeight="1">
      <c r="A125" s="1">
        <v>88</v>
      </c>
      <c r="B125" s="1" t="s">
        <v>1450</v>
      </c>
      <c r="C125" s="1" t="s">
        <v>1449</v>
      </c>
      <c r="D125" s="1">
        <v>1</v>
      </c>
      <c r="E125" s="1" t="s">
        <v>2230</v>
      </c>
      <c r="I125" s="482" t="str">
        <f>IF(OR(schools!C120="000",schools!C120=""),"1",(SUMIF(data!$A$8:$AB$13001,schools!C120,data!$AB$8:$AB$13001)))</f>
        <v>1</v>
      </c>
      <c r="J125" s="483">
        <f t="shared" si="3"/>
        <v>0</v>
      </c>
    </row>
    <row r="126" spans="1:10" ht="15" customHeight="1">
      <c r="A126" s="1">
        <v>89</v>
      </c>
      <c r="B126" s="1" t="s">
        <v>1452</v>
      </c>
      <c r="C126" s="1" t="s">
        <v>1451</v>
      </c>
      <c r="D126" s="1">
        <v>1</v>
      </c>
      <c r="E126" s="1" t="s">
        <v>2230</v>
      </c>
      <c r="I126" s="482" t="str">
        <f>IF(OR(schools!C121="000",schools!C121=""),"1",(SUMIF(data!$A$8:$AB$13001,schools!C121,data!$AB$8:$AB$13001)))</f>
        <v>1</v>
      </c>
      <c r="J126" s="483">
        <f t="shared" si="3"/>
        <v>0</v>
      </c>
    </row>
    <row r="127" spans="1:10" ht="15" customHeight="1">
      <c r="A127" s="1">
        <v>90</v>
      </c>
      <c r="B127" s="1" t="s">
        <v>1454</v>
      </c>
      <c r="C127" s="1" t="s">
        <v>1453</v>
      </c>
      <c r="D127" s="1">
        <v>0</v>
      </c>
      <c r="E127" s="1" t="s">
        <v>2230</v>
      </c>
      <c r="I127" s="482" t="str">
        <f>IF(OR(schools!C122="000",schools!C122=""),"1",(SUMIF(data!$A$8:$AB$13001,schools!C122,data!$AB$8:$AB$13001)))</f>
        <v>1</v>
      </c>
      <c r="J127" s="483">
        <f t="shared" si="3"/>
        <v>0</v>
      </c>
    </row>
    <row r="128" spans="1:10" ht="15" customHeight="1">
      <c r="A128" s="1">
        <v>91</v>
      </c>
      <c r="B128" s="1" t="s">
        <v>1456</v>
      </c>
      <c r="C128" s="1" t="s">
        <v>1455</v>
      </c>
      <c r="D128" s="1">
        <v>1</v>
      </c>
      <c r="E128" s="1" t="s">
        <v>2230</v>
      </c>
      <c r="I128" s="482" t="str">
        <f>IF(OR(schools!C123="000",schools!C123=""),"1",(SUMIF(data!$A$8:$AB$13001,schools!C123,data!$AB$8:$AB$13001)))</f>
        <v>1</v>
      </c>
      <c r="J128" s="483">
        <f t="shared" si="3"/>
        <v>0</v>
      </c>
    </row>
    <row r="129" spans="1:10" ht="15" customHeight="1">
      <c r="A129" s="1">
        <v>92</v>
      </c>
      <c r="B129" s="1" t="s">
        <v>1458</v>
      </c>
      <c r="C129" s="1" t="s">
        <v>1457</v>
      </c>
      <c r="D129" s="1">
        <v>0</v>
      </c>
      <c r="E129" s="1" t="s">
        <v>2230</v>
      </c>
      <c r="I129" s="482" t="str">
        <f>IF(OR(schools!C124="000",schools!C124=""),"1",(SUMIF(data!$A$8:$AB$13001,schools!C124,data!$AB$8:$AB$13001)))</f>
        <v>1</v>
      </c>
      <c r="J129" s="483">
        <f t="shared" si="3"/>
        <v>0</v>
      </c>
    </row>
    <row r="130" spans="1:10" ht="15" customHeight="1">
      <c r="A130" s="1">
        <v>93</v>
      </c>
      <c r="B130" s="1" t="s">
        <v>1460</v>
      </c>
      <c r="C130" s="1" t="s">
        <v>1459</v>
      </c>
      <c r="D130" s="1">
        <v>1</v>
      </c>
      <c r="E130" s="1" t="s">
        <v>2231</v>
      </c>
      <c r="I130" s="482" t="str">
        <f>IF(OR(schools!C125="000",schools!C125=""),"1",(SUMIF(data!$A$8:$AB$13001,schools!C125,data!$AB$8:$AB$13001)))</f>
        <v>1</v>
      </c>
      <c r="J130" s="483">
        <f t="shared" si="3"/>
        <v>0</v>
      </c>
    </row>
    <row r="131" spans="1:10" ht="15" customHeight="1">
      <c r="A131" s="1">
        <v>94</v>
      </c>
      <c r="B131" s="1" t="s">
        <v>1462</v>
      </c>
      <c r="C131" s="1" t="s">
        <v>1461</v>
      </c>
      <c r="D131" s="1">
        <v>1</v>
      </c>
      <c r="E131" s="1" t="s">
        <v>2230</v>
      </c>
      <c r="I131" s="482" t="str">
        <f>IF(OR(schools!C126="000",schools!C126=""),"1",(SUMIF(data!$A$8:$AB$13001,schools!C126,data!$AB$8:$AB$13001)))</f>
        <v>1</v>
      </c>
      <c r="J131" s="483">
        <f t="shared" si="3"/>
        <v>0</v>
      </c>
    </row>
    <row r="132" spans="1:10" ht="15" customHeight="1">
      <c r="A132" s="1">
        <v>95</v>
      </c>
      <c r="B132" s="1" t="s">
        <v>1464</v>
      </c>
      <c r="C132" s="1" t="s">
        <v>1463</v>
      </c>
      <c r="D132" s="1">
        <v>1</v>
      </c>
      <c r="E132" s="1" t="s">
        <v>2230</v>
      </c>
      <c r="I132" s="482" t="str">
        <f>IF(OR(schools!C127="000",schools!C127=""),"1",(SUMIF(data!$A$8:$AB$13001,schools!C127,data!$AB$8:$AB$13001)))</f>
        <v>1</v>
      </c>
      <c r="J132" s="483">
        <f t="shared" si="3"/>
        <v>0</v>
      </c>
    </row>
    <row r="133" spans="1:10" ht="15" customHeight="1">
      <c r="A133" s="1">
        <v>96</v>
      </c>
      <c r="B133" s="1" t="s">
        <v>1466</v>
      </c>
      <c r="C133" s="1" t="s">
        <v>1465</v>
      </c>
      <c r="D133" s="1">
        <v>1</v>
      </c>
      <c r="E133" s="1" t="s">
        <v>2230</v>
      </c>
      <c r="I133" s="482" t="str">
        <f>IF(OR(schools!C128="000",schools!C128=""),"1",(SUMIF(data!$A$8:$AB$13001,schools!C128,data!$AB$8:$AB$13001)))</f>
        <v>1</v>
      </c>
      <c r="J133" s="483">
        <f t="shared" si="3"/>
        <v>0</v>
      </c>
    </row>
    <row r="134" spans="1:10" ht="15" customHeight="1">
      <c r="A134" s="1">
        <v>97</v>
      </c>
      <c r="B134" s="1" t="s">
        <v>1468</v>
      </c>
      <c r="C134" s="1" t="s">
        <v>1467</v>
      </c>
      <c r="D134" s="1">
        <v>1</v>
      </c>
      <c r="E134" s="1" t="s">
        <v>2230</v>
      </c>
      <c r="I134" s="482" t="str">
        <f>IF(OR(schools!C129="000",schools!C129=""),"1",(SUMIF(data!$A$8:$AB$13001,schools!C129,data!$AB$8:$AB$13001)))</f>
        <v>1</v>
      </c>
      <c r="J134" s="483">
        <f t="shared" si="3"/>
        <v>0</v>
      </c>
    </row>
    <row r="135" spans="1:10" ht="15" customHeight="1">
      <c r="A135" s="1">
        <v>98</v>
      </c>
      <c r="B135" s="1" t="s">
        <v>1470</v>
      </c>
      <c r="C135" s="1" t="s">
        <v>1469</v>
      </c>
      <c r="D135" s="1">
        <v>1</v>
      </c>
      <c r="E135" s="1" t="s">
        <v>2230</v>
      </c>
      <c r="I135" s="482" t="str">
        <f>IF(OR(schools!C130="000",schools!C130=""),"1",(SUMIF(data!$A$8:$AB$13001,schools!C130,data!$AB$8:$AB$13001)))</f>
        <v>1</v>
      </c>
      <c r="J135" s="483">
        <f t="shared" ref="J135:J156" si="4">IF(I135&gt;0,0,1)</f>
        <v>0</v>
      </c>
    </row>
    <row r="136" spans="1:10" ht="15" customHeight="1">
      <c r="A136" s="1">
        <v>99</v>
      </c>
      <c r="B136" s="1" t="s">
        <v>1472</v>
      </c>
      <c r="C136" s="1" t="s">
        <v>1471</v>
      </c>
      <c r="D136" s="1">
        <v>1</v>
      </c>
      <c r="E136" s="1" t="s">
        <v>2230</v>
      </c>
      <c r="I136" s="482" t="str">
        <f>IF(OR(schools!C131="000",schools!C131=""),"1",(SUMIF(data!$A$8:$AB$13001,schools!C131,data!$AB$8:$AB$13001)))</f>
        <v>1</v>
      </c>
      <c r="J136" s="483">
        <f t="shared" si="4"/>
        <v>0</v>
      </c>
    </row>
    <row r="137" spans="1:10" ht="15" customHeight="1">
      <c r="A137" s="1">
        <v>100</v>
      </c>
      <c r="B137" s="1" t="s">
        <v>1474</v>
      </c>
      <c r="C137" s="1" t="s">
        <v>1473</v>
      </c>
      <c r="D137" s="1">
        <v>1</v>
      </c>
      <c r="E137" s="1" t="s">
        <v>2230</v>
      </c>
      <c r="I137" s="482" t="str">
        <f>IF(OR(schools!C132="000",schools!C132=""),"1",(SUMIF(data!$A$8:$AB$13001,schools!C132,data!$AB$8:$AB$13001)))</f>
        <v>1</v>
      </c>
      <c r="J137" s="483">
        <f t="shared" si="4"/>
        <v>0</v>
      </c>
    </row>
    <row r="138" spans="1:10" ht="15" customHeight="1">
      <c r="A138" s="1">
        <v>101</v>
      </c>
      <c r="B138" s="1" t="s">
        <v>1476</v>
      </c>
      <c r="C138" s="1" t="s">
        <v>1475</v>
      </c>
      <c r="D138" s="1">
        <v>1</v>
      </c>
      <c r="E138" s="1" t="s">
        <v>2230</v>
      </c>
      <c r="I138" s="482" t="str">
        <f>IF(OR(schools!C133="000",schools!C133=""),"1",(SUMIF(data!$A$8:$AB$13001,schools!C133,data!$AB$8:$AB$13001)))</f>
        <v>1</v>
      </c>
      <c r="J138" s="483">
        <f t="shared" si="4"/>
        <v>0</v>
      </c>
    </row>
    <row r="139" spans="1:10" ht="15" customHeight="1">
      <c r="A139" s="1">
        <v>102</v>
      </c>
      <c r="B139" s="1" t="s">
        <v>1478</v>
      </c>
      <c r="C139" s="1" t="s">
        <v>1477</v>
      </c>
      <c r="D139" s="1">
        <v>0</v>
      </c>
      <c r="E139" s="1" t="s">
        <v>2230</v>
      </c>
      <c r="I139" s="482" t="str">
        <f>IF(OR(schools!C134="000",schools!C134=""),"1",(SUMIF(data!$A$8:$AB$13001,schools!C134,data!$AB$8:$AB$13001)))</f>
        <v>1</v>
      </c>
      <c r="J139" s="483">
        <f t="shared" si="4"/>
        <v>0</v>
      </c>
    </row>
    <row r="140" spans="1:10" ht="15" customHeight="1">
      <c r="A140" s="1">
        <v>103</v>
      </c>
      <c r="B140" s="1" t="s">
        <v>1480</v>
      </c>
      <c r="C140" s="1" t="s">
        <v>1479</v>
      </c>
      <c r="D140" s="1">
        <v>1</v>
      </c>
      <c r="E140" s="1" t="s">
        <v>2230</v>
      </c>
      <c r="I140" s="482" t="str">
        <f>IF(OR(schools!C135="000",schools!C135=""),"1",(SUMIF(data!$A$8:$AB$13001,schools!C135,data!$AB$8:$AB$13001)))</f>
        <v>1</v>
      </c>
      <c r="J140" s="483">
        <f t="shared" si="4"/>
        <v>0</v>
      </c>
    </row>
    <row r="141" spans="1:10" ht="15" customHeight="1">
      <c r="A141" s="1">
        <v>104</v>
      </c>
      <c r="B141" s="1" t="s">
        <v>2232</v>
      </c>
      <c r="C141" s="1" t="s">
        <v>1481</v>
      </c>
      <c r="D141" s="1">
        <v>0</v>
      </c>
      <c r="E141" s="1" t="s">
        <v>2230</v>
      </c>
      <c r="I141" s="482" t="str">
        <f>IF(OR(schools!C136="000",schools!C136=""),"1",(SUMIF(data!$A$8:$AB$13001,schools!C136,data!$AB$8:$AB$13001)))</f>
        <v>1</v>
      </c>
      <c r="J141" s="483">
        <f t="shared" si="4"/>
        <v>0</v>
      </c>
    </row>
    <row r="142" spans="1:10" ht="15" customHeight="1">
      <c r="A142" s="1">
        <v>105</v>
      </c>
      <c r="B142" s="1" t="s">
        <v>1484</v>
      </c>
      <c r="C142" s="1" t="s">
        <v>1483</v>
      </c>
      <c r="D142" s="1">
        <v>1</v>
      </c>
      <c r="E142" s="1" t="s">
        <v>2230</v>
      </c>
      <c r="I142" s="482" t="str">
        <f>IF(OR(schools!C137="000",schools!C137=""),"1",(SUMIF(data!$A$8:$AB$13001,schools!C137,data!$AB$8:$AB$13001)))</f>
        <v>1</v>
      </c>
      <c r="J142" s="483">
        <f t="shared" si="4"/>
        <v>0</v>
      </c>
    </row>
    <row r="143" spans="1:10" ht="15" customHeight="1">
      <c r="A143" s="1">
        <v>106</v>
      </c>
      <c r="B143" s="1" t="s">
        <v>1486</v>
      </c>
      <c r="C143" s="1" t="s">
        <v>1485</v>
      </c>
      <c r="D143" s="1">
        <v>0</v>
      </c>
      <c r="E143" s="1" t="s">
        <v>2230</v>
      </c>
      <c r="I143" s="482" t="str">
        <f>IF(OR(schools!C138="000",schools!C138=""),"1",(SUMIF(data!$A$8:$AB$13001,schools!C138,data!$AB$8:$AB$13001)))</f>
        <v>1</v>
      </c>
      <c r="J143" s="483">
        <f t="shared" si="4"/>
        <v>0</v>
      </c>
    </row>
    <row r="144" spans="1:10" ht="15" customHeight="1">
      <c r="A144" s="1">
        <v>107</v>
      </c>
      <c r="B144" s="1" t="s">
        <v>1488</v>
      </c>
      <c r="C144" s="1" t="s">
        <v>1487</v>
      </c>
      <c r="D144" s="1">
        <v>1</v>
      </c>
      <c r="E144" s="1" t="s">
        <v>2230</v>
      </c>
      <c r="I144" s="482" t="str">
        <f>IF(OR(schools!C139="000",schools!C139=""),"1",(SUMIF(data!$A$8:$AB$13001,schools!C139,data!$AB$8:$AB$13001)))</f>
        <v>1</v>
      </c>
      <c r="J144" s="483">
        <f t="shared" si="4"/>
        <v>0</v>
      </c>
    </row>
    <row r="145" spans="1:10" ht="15" customHeight="1">
      <c r="A145" s="1">
        <v>108</v>
      </c>
      <c r="B145" s="1" t="s">
        <v>1490</v>
      </c>
      <c r="C145" s="1" t="s">
        <v>1489</v>
      </c>
      <c r="D145" s="1">
        <v>0</v>
      </c>
      <c r="E145" s="1" t="s">
        <v>2230</v>
      </c>
      <c r="I145" s="482" t="str">
        <f>IF(OR(schools!C140="000",schools!C140=""),"1",(SUMIF(data!$A$8:$AB$13001,schools!C140,data!$AB$8:$AB$13001)))</f>
        <v>1</v>
      </c>
      <c r="J145" s="483">
        <f t="shared" si="4"/>
        <v>0</v>
      </c>
    </row>
    <row r="146" spans="1:10" ht="15" customHeight="1">
      <c r="A146" s="1">
        <v>109</v>
      </c>
      <c r="B146" s="1" t="s">
        <v>1492</v>
      </c>
      <c r="C146" s="1" t="s">
        <v>1491</v>
      </c>
      <c r="D146" s="1">
        <v>0</v>
      </c>
      <c r="E146" s="1" t="s">
        <v>2231</v>
      </c>
      <c r="I146" s="482" t="str">
        <f>IF(OR(schools!C141="000",schools!C141=""),"1",(SUMIF(data!$A$8:$AB$13001,schools!C141,data!$AB$8:$AB$13001)))</f>
        <v>1</v>
      </c>
      <c r="J146" s="483">
        <f t="shared" si="4"/>
        <v>0</v>
      </c>
    </row>
    <row r="147" spans="1:10" ht="15" customHeight="1">
      <c r="A147" s="1">
        <v>110</v>
      </c>
      <c r="B147" s="1" t="s">
        <v>1494</v>
      </c>
      <c r="C147" s="1" t="s">
        <v>1493</v>
      </c>
      <c r="D147" s="1">
        <v>1</v>
      </c>
      <c r="E147" s="1" t="s">
        <v>2230</v>
      </c>
      <c r="I147" s="482" t="str">
        <f>IF(OR(schools!C142="000",schools!C142=""),"1",(SUMIF(data!$A$8:$AB$13001,schools!C142,data!$AB$8:$AB$13001)))</f>
        <v>1</v>
      </c>
      <c r="J147" s="483">
        <f t="shared" si="4"/>
        <v>0</v>
      </c>
    </row>
    <row r="148" spans="1:10" ht="15" customHeight="1">
      <c r="A148" s="1">
        <v>111</v>
      </c>
      <c r="B148" s="1" t="s">
        <v>1496</v>
      </c>
      <c r="C148" s="1" t="s">
        <v>1495</v>
      </c>
      <c r="D148" s="1">
        <v>1</v>
      </c>
      <c r="E148" s="1" t="s">
        <v>2230</v>
      </c>
      <c r="I148" s="482" t="str">
        <f>IF(OR(schools!C143="000",schools!C143=""),"1",(SUMIF(data!$A$8:$AB$13001,schools!C143,data!$AB$8:$AB$13001)))</f>
        <v>1</v>
      </c>
      <c r="J148" s="483">
        <f t="shared" si="4"/>
        <v>0</v>
      </c>
    </row>
    <row r="149" spans="1:10" ht="15" customHeight="1">
      <c r="A149" s="1">
        <v>112</v>
      </c>
      <c r="B149" s="1" t="s">
        <v>1498</v>
      </c>
      <c r="C149" s="1" t="s">
        <v>1497</v>
      </c>
      <c r="D149" s="1">
        <v>0</v>
      </c>
      <c r="E149" s="1" t="s">
        <v>2230</v>
      </c>
      <c r="I149" s="482" t="str">
        <f>IF(OR(schools!C144="000",schools!C144=""),"1",(SUMIF(data!$A$8:$AB$13001,schools!C144,data!$AB$8:$AB$13001)))</f>
        <v>1</v>
      </c>
      <c r="J149" s="483">
        <f t="shared" si="4"/>
        <v>0</v>
      </c>
    </row>
    <row r="150" spans="1:10" ht="15" customHeight="1">
      <c r="A150" s="1">
        <v>113</v>
      </c>
      <c r="B150" s="1" t="s">
        <v>1500</v>
      </c>
      <c r="C150" s="1" t="s">
        <v>1499</v>
      </c>
      <c r="D150" s="1">
        <v>0</v>
      </c>
      <c r="E150" s="1" t="s">
        <v>2230</v>
      </c>
      <c r="I150" s="482" t="str">
        <f>IF(OR(schools!C145="000",schools!C145=""),"1",(SUMIF(data!$A$8:$AB$13001,schools!C145,data!$AB$8:$AB$13001)))</f>
        <v>1</v>
      </c>
      <c r="J150" s="483">
        <f t="shared" si="4"/>
        <v>0</v>
      </c>
    </row>
    <row r="151" spans="1:10" ht="15" customHeight="1">
      <c r="A151" s="1">
        <v>114</v>
      </c>
      <c r="B151" s="1" t="s">
        <v>1502</v>
      </c>
      <c r="C151" s="1" t="s">
        <v>1501</v>
      </c>
      <c r="D151" s="1">
        <v>1</v>
      </c>
      <c r="E151" s="1" t="s">
        <v>2230</v>
      </c>
      <c r="I151" s="482" t="str">
        <f>IF(OR(schools!C146="000",schools!C146=""),"1",(SUMIF(data!$A$8:$AB$13001,schools!C146,data!$AB$8:$AB$13001)))</f>
        <v>1</v>
      </c>
      <c r="J151" s="483">
        <f t="shared" si="4"/>
        <v>0</v>
      </c>
    </row>
    <row r="152" spans="1:10" ht="15" customHeight="1">
      <c r="A152" s="1">
        <v>115</v>
      </c>
      <c r="B152" s="1" t="s">
        <v>1504</v>
      </c>
      <c r="C152" s="1" t="s">
        <v>1503</v>
      </c>
      <c r="D152" s="1">
        <v>0</v>
      </c>
      <c r="E152" s="1" t="s">
        <v>2230</v>
      </c>
      <c r="I152" s="482" t="str">
        <f>IF(OR(schools!C147="000",schools!C147=""),"1",(SUMIF(data!$A$8:$AB$13001,schools!C147,data!$AB$8:$AB$13001)))</f>
        <v>1</v>
      </c>
      <c r="J152" s="483">
        <f t="shared" si="4"/>
        <v>0</v>
      </c>
    </row>
    <row r="153" spans="1:10" ht="15" customHeight="1">
      <c r="A153" s="1">
        <v>116</v>
      </c>
      <c r="B153" s="1" t="s">
        <v>1506</v>
      </c>
      <c r="C153" s="1" t="s">
        <v>1505</v>
      </c>
      <c r="D153" s="1">
        <v>0</v>
      </c>
      <c r="E153" s="1" t="s">
        <v>2230</v>
      </c>
      <c r="I153" s="482" t="str">
        <f>IF(OR(schools!C148="000",schools!C148=""),"1",(SUMIF(data!$A$8:$AB$13001,schools!C148,data!$AB$8:$AB$13001)))</f>
        <v>1</v>
      </c>
      <c r="J153" s="483">
        <f t="shared" si="4"/>
        <v>0</v>
      </c>
    </row>
    <row r="154" spans="1:10" ht="15" customHeight="1">
      <c r="A154" s="1">
        <v>117</v>
      </c>
      <c r="B154" s="1" t="s">
        <v>1508</v>
      </c>
      <c r="C154" s="1" t="s">
        <v>1507</v>
      </c>
      <c r="D154" s="1">
        <v>1</v>
      </c>
      <c r="E154" s="1" t="s">
        <v>2231</v>
      </c>
      <c r="I154" s="482" t="str">
        <f>IF(OR(schools!C149="000",schools!C149=""),"1",(SUMIF(data!$A$8:$AB$13001,schools!C149,data!$AB$8:$AB$13001)))</f>
        <v>1</v>
      </c>
      <c r="J154" s="483">
        <f t="shared" si="4"/>
        <v>0</v>
      </c>
    </row>
    <row r="155" spans="1:10" ht="15" customHeight="1">
      <c r="A155" s="1">
        <v>118</v>
      </c>
      <c r="B155" s="1" t="s">
        <v>1510</v>
      </c>
      <c r="C155" s="1" t="s">
        <v>1509</v>
      </c>
      <c r="D155" s="1">
        <v>1</v>
      </c>
      <c r="E155" s="1" t="s">
        <v>2230</v>
      </c>
      <c r="I155" s="482" t="str">
        <f>IF(OR(schools!C150="000",schools!C150=""),"1",(SUMIF(data!$A$8:$AB$13001,schools!C150,data!$AB$8:$AB$13001)))</f>
        <v>1</v>
      </c>
      <c r="J155" s="483">
        <f t="shared" si="4"/>
        <v>0</v>
      </c>
    </row>
    <row r="156" spans="1:10" ht="15" customHeight="1">
      <c r="A156" s="1">
        <v>119</v>
      </c>
      <c r="B156" s="1" t="s">
        <v>1512</v>
      </c>
      <c r="C156" s="1" t="s">
        <v>1511</v>
      </c>
      <c r="D156" s="1">
        <v>0</v>
      </c>
      <c r="E156" s="1" t="s">
        <v>2230</v>
      </c>
      <c r="I156" s="482" t="str">
        <f>IF(OR(schools!C151="000",schools!C151=""),"1",(SUMIF(data!$A$8:$AB$13001,schools!C151,data!$AB$8:$AB$13001)))</f>
        <v>1</v>
      </c>
      <c r="J156" s="484">
        <f t="shared" si="4"/>
        <v>0</v>
      </c>
    </row>
    <row r="157" spans="1:10" ht="15" customHeight="1">
      <c r="A157" s="1">
        <v>120</v>
      </c>
      <c r="B157" s="1" t="s">
        <v>1514</v>
      </c>
      <c r="C157" s="1" t="s">
        <v>1513</v>
      </c>
      <c r="D157" s="1">
        <v>0</v>
      </c>
      <c r="E157" s="1" t="s">
        <v>2230</v>
      </c>
    </row>
    <row r="158" spans="1:10" ht="15" customHeight="1">
      <c r="A158" s="1">
        <v>121</v>
      </c>
      <c r="B158" s="1" t="s">
        <v>1516</v>
      </c>
      <c r="C158" s="1" t="s">
        <v>1515</v>
      </c>
      <c r="D158" s="1">
        <v>1</v>
      </c>
      <c r="E158" s="1" t="s">
        <v>2231</v>
      </c>
    </row>
    <row r="159" spans="1:10" ht="15" customHeight="1">
      <c r="A159" s="1">
        <v>122</v>
      </c>
      <c r="B159" s="1" t="s">
        <v>1518</v>
      </c>
      <c r="C159" s="1" t="s">
        <v>1517</v>
      </c>
      <c r="D159" s="1">
        <v>1</v>
      </c>
      <c r="E159" s="1" t="s">
        <v>2230</v>
      </c>
    </row>
    <row r="160" spans="1:10" ht="15" customHeight="1">
      <c r="A160" s="1">
        <v>123</v>
      </c>
      <c r="B160" s="1" t="s">
        <v>1520</v>
      </c>
      <c r="C160" s="1" t="s">
        <v>1519</v>
      </c>
      <c r="D160" s="1">
        <v>0</v>
      </c>
      <c r="E160" s="1" t="s">
        <v>2230</v>
      </c>
    </row>
    <row r="161" spans="1:5" ht="15" customHeight="1">
      <c r="A161" s="1">
        <v>124</v>
      </c>
      <c r="B161" s="1" t="s">
        <v>1522</v>
      </c>
      <c r="C161" s="1" t="s">
        <v>1521</v>
      </c>
      <c r="D161" s="1">
        <v>0</v>
      </c>
      <c r="E161" s="1" t="s">
        <v>2230</v>
      </c>
    </row>
    <row r="162" spans="1:5" ht="15" customHeight="1">
      <c r="A162" s="1">
        <v>125</v>
      </c>
      <c r="B162" s="1" t="s">
        <v>1524</v>
      </c>
      <c r="C162" s="1" t="s">
        <v>1523</v>
      </c>
      <c r="D162" s="1">
        <v>1</v>
      </c>
      <c r="E162" s="1" t="s">
        <v>2230</v>
      </c>
    </row>
    <row r="163" spans="1:5" ht="15" customHeight="1">
      <c r="A163" s="1">
        <v>126</v>
      </c>
      <c r="B163" s="1" t="s">
        <v>1526</v>
      </c>
      <c r="C163" s="1" t="s">
        <v>1525</v>
      </c>
      <c r="D163" s="1">
        <v>0</v>
      </c>
      <c r="E163" s="1" t="s">
        <v>2230</v>
      </c>
    </row>
    <row r="164" spans="1:5" ht="15" customHeight="1">
      <c r="A164" s="1">
        <v>127</v>
      </c>
      <c r="B164" s="1" t="s">
        <v>1528</v>
      </c>
      <c r="C164" s="1" t="s">
        <v>1527</v>
      </c>
      <c r="D164" s="1">
        <v>1</v>
      </c>
      <c r="E164" s="1" t="s">
        <v>2231</v>
      </c>
    </row>
    <row r="165" spans="1:5" ht="15" customHeight="1">
      <c r="A165" s="1">
        <v>128</v>
      </c>
      <c r="B165" s="1" t="s">
        <v>1530</v>
      </c>
      <c r="C165" s="1" t="s">
        <v>1529</v>
      </c>
      <c r="D165" s="1">
        <v>1</v>
      </c>
      <c r="E165" s="1" t="s">
        <v>2230</v>
      </c>
    </row>
    <row r="166" spans="1:5" ht="15" customHeight="1">
      <c r="A166" s="1">
        <v>129</v>
      </c>
      <c r="B166" s="1" t="s">
        <v>1532</v>
      </c>
      <c r="C166" s="1" t="s">
        <v>1531</v>
      </c>
      <c r="D166" s="1">
        <v>0</v>
      </c>
      <c r="E166" s="1" t="s">
        <v>2230</v>
      </c>
    </row>
    <row r="167" spans="1:5" ht="15" customHeight="1">
      <c r="A167" s="1">
        <v>130</v>
      </c>
      <c r="B167" s="1" t="s">
        <v>1534</v>
      </c>
      <c r="C167" s="1" t="s">
        <v>1533</v>
      </c>
      <c r="D167" s="1">
        <v>0</v>
      </c>
      <c r="E167" s="1" t="s">
        <v>2230</v>
      </c>
    </row>
    <row r="168" spans="1:5" ht="15" customHeight="1">
      <c r="A168" s="1">
        <v>131</v>
      </c>
      <c r="B168" s="1" t="s">
        <v>1536</v>
      </c>
      <c r="C168" s="1" t="s">
        <v>1535</v>
      </c>
      <c r="D168" s="1">
        <v>1</v>
      </c>
      <c r="E168" s="1" t="s">
        <v>2231</v>
      </c>
    </row>
    <row r="169" spans="1:5" ht="15" customHeight="1">
      <c r="A169" s="1">
        <v>132</v>
      </c>
      <c r="B169" s="1" t="s">
        <v>1538</v>
      </c>
      <c r="C169" s="1" t="s">
        <v>1537</v>
      </c>
      <c r="D169" s="1">
        <v>0</v>
      </c>
      <c r="E169" s="1" t="s">
        <v>2230</v>
      </c>
    </row>
    <row r="170" spans="1:5" ht="15" customHeight="1">
      <c r="A170" s="1">
        <v>133</v>
      </c>
      <c r="B170" s="1" t="s">
        <v>1540</v>
      </c>
      <c r="C170" s="1" t="s">
        <v>1539</v>
      </c>
      <c r="D170" s="1">
        <v>1</v>
      </c>
      <c r="E170" s="1" t="s">
        <v>2230</v>
      </c>
    </row>
    <row r="171" spans="1:5" ht="15" customHeight="1">
      <c r="A171" s="1">
        <v>134</v>
      </c>
      <c r="B171" s="1" t="s">
        <v>1542</v>
      </c>
      <c r="C171" s="1" t="s">
        <v>1541</v>
      </c>
      <c r="D171" s="1">
        <v>0</v>
      </c>
      <c r="E171" s="1" t="s">
        <v>2230</v>
      </c>
    </row>
    <row r="172" spans="1:5" ht="15" customHeight="1">
      <c r="A172" s="1">
        <v>135</v>
      </c>
      <c r="B172" s="1" t="s">
        <v>1544</v>
      </c>
      <c r="C172" s="1" t="s">
        <v>1543</v>
      </c>
      <c r="D172" s="1">
        <v>1</v>
      </c>
      <c r="E172" s="1" t="s">
        <v>2230</v>
      </c>
    </row>
    <row r="173" spans="1:5" ht="15" customHeight="1">
      <c r="A173" s="1">
        <v>136</v>
      </c>
      <c r="B173" s="1" t="s">
        <v>1545</v>
      </c>
      <c r="C173" s="1" t="s">
        <v>2233</v>
      </c>
      <c r="D173" s="1">
        <v>1</v>
      </c>
      <c r="E173" s="1" t="s">
        <v>2230</v>
      </c>
    </row>
    <row r="174" spans="1:5" ht="15" customHeight="1">
      <c r="A174" s="1">
        <v>137</v>
      </c>
      <c r="B174" s="1" t="s">
        <v>1547</v>
      </c>
      <c r="C174" s="1" t="s">
        <v>1546</v>
      </c>
      <c r="D174" s="1">
        <v>1</v>
      </c>
      <c r="E174" s="1" t="s">
        <v>2231</v>
      </c>
    </row>
    <row r="175" spans="1:5" ht="15" customHeight="1">
      <c r="A175" s="1">
        <v>138</v>
      </c>
      <c r="B175" s="1" t="s">
        <v>1549</v>
      </c>
      <c r="C175" s="1" t="s">
        <v>1548</v>
      </c>
      <c r="D175" s="1">
        <v>1</v>
      </c>
      <c r="E175" s="1" t="s">
        <v>2230</v>
      </c>
    </row>
    <row r="176" spans="1:5" ht="15" customHeight="1">
      <c r="A176" s="1">
        <v>139</v>
      </c>
      <c r="B176" s="1" t="s">
        <v>1550</v>
      </c>
      <c r="C176" s="1" t="s">
        <v>2234</v>
      </c>
      <c r="D176" s="1">
        <v>1</v>
      </c>
      <c r="E176" s="1" t="s">
        <v>2230</v>
      </c>
    </row>
    <row r="177" spans="1:5" ht="15" customHeight="1">
      <c r="A177" s="1">
        <v>140</v>
      </c>
      <c r="B177" s="1" t="s">
        <v>1552</v>
      </c>
      <c r="C177" s="1" t="s">
        <v>1551</v>
      </c>
      <c r="D177" s="1">
        <v>0</v>
      </c>
      <c r="E177" s="1" t="s">
        <v>2230</v>
      </c>
    </row>
    <row r="178" spans="1:5" ht="15" customHeight="1">
      <c r="A178" s="1">
        <v>141</v>
      </c>
      <c r="B178" s="1" t="s">
        <v>1554</v>
      </c>
      <c r="C178" s="1" t="s">
        <v>1553</v>
      </c>
      <c r="D178" s="1">
        <v>1</v>
      </c>
      <c r="E178" s="1" t="s">
        <v>2230</v>
      </c>
    </row>
    <row r="179" spans="1:5" ht="15" customHeight="1">
      <c r="A179" s="1">
        <v>142</v>
      </c>
      <c r="B179" s="1" t="s">
        <v>1556</v>
      </c>
      <c r="C179" s="1" t="s">
        <v>1555</v>
      </c>
      <c r="D179" s="1">
        <v>1</v>
      </c>
      <c r="E179" s="1" t="s">
        <v>2231</v>
      </c>
    </row>
    <row r="180" spans="1:5" ht="15" customHeight="1">
      <c r="A180" s="1">
        <v>143</v>
      </c>
      <c r="B180" s="1" t="s">
        <v>1558</v>
      </c>
      <c r="C180" s="1" t="s">
        <v>1557</v>
      </c>
      <c r="D180" s="1">
        <v>0</v>
      </c>
      <c r="E180" s="1" t="s">
        <v>2230</v>
      </c>
    </row>
    <row r="181" spans="1:5" ht="15" customHeight="1">
      <c r="A181" s="1">
        <v>144</v>
      </c>
      <c r="B181" s="1" t="s">
        <v>1559</v>
      </c>
      <c r="C181" s="1" t="s">
        <v>2235</v>
      </c>
      <c r="D181" s="1">
        <v>1</v>
      </c>
      <c r="E181" s="1" t="s">
        <v>2230</v>
      </c>
    </row>
    <row r="182" spans="1:5" ht="15" customHeight="1">
      <c r="A182" s="1">
        <v>145</v>
      </c>
      <c r="B182" s="1" t="s">
        <v>1561</v>
      </c>
      <c r="C182" s="1" t="s">
        <v>1560</v>
      </c>
      <c r="D182" s="1">
        <v>1</v>
      </c>
      <c r="E182" s="1" t="s">
        <v>2230</v>
      </c>
    </row>
    <row r="183" spans="1:5" ht="15" customHeight="1">
      <c r="A183" s="1">
        <v>146</v>
      </c>
      <c r="B183" s="1" t="s">
        <v>1563</v>
      </c>
      <c r="C183" s="1" t="s">
        <v>1562</v>
      </c>
      <c r="D183" s="1">
        <v>0</v>
      </c>
      <c r="E183" s="1" t="s">
        <v>2230</v>
      </c>
    </row>
    <row r="184" spans="1:5" ht="15" customHeight="1">
      <c r="A184" s="1">
        <v>147</v>
      </c>
      <c r="B184" s="1" t="s">
        <v>1565</v>
      </c>
      <c r="C184" s="1" t="s">
        <v>1564</v>
      </c>
      <c r="D184" s="1">
        <v>0</v>
      </c>
      <c r="E184" s="1" t="s">
        <v>2230</v>
      </c>
    </row>
    <row r="185" spans="1:5" ht="15" customHeight="1">
      <c r="A185" s="1">
        <v>148</v>
      </c>
      <c r="B185" s="1" t="s">
        <v>1567</v>
      </c>
      <c r="C185" s="1" t="s">
        <v>1566</v>
      </c>
      <c r="D185" s="1">
        <v>0</v>
      </c>
      <c r="E185" s="1" t="s">
        <v>2230</v>
      </c>
    </row>
    <row r="186" spans="1:5" ht="15" customHeight="1">
      <c r="A186" s="1">
        <v>149</v>
      </c>
      <c r="B186" s="1" t="s">
        <v>1569</v>
      </c>
      <c r="C186" s="1" t="s">
        <v>1568</v>
      </c>
      <c r="D186" s="1">
        <v>1</v>
      </c>
      <c r="E186" s="1" t="s">
        <v>2230</v>
      </c>
    </row>
    <row r="187" spans="1:5" ht="15" customHeight="1">
      <c r="A187" s="1">
        <v>150</v>
      </c>
      <c r="B187" s="1" t="s">
        <v>1571</v>
      </c>
      <c r="C187" s="1" t="s">
        <v>1570</v>
      </c>
      <c r="D187" s="1">
        <v>1</v>
      </c>
      <c r="E187" s="1" t="s">
        <v>2231</v>
      </c>
    </row>
    <row r="188" spans="1:5" ht="15" customHeight="1">
      <c r="A188" s="1">
        <v>151</v>
      </c>
      <c r="B188" s="1" t="s">
        <v>1573</v>
      </c>
      <c r="C188" s="1" t="s">
        <v>1572</v>
      </c>
      <c r="D188" s="1">
        <v>1</v>
      </c>
      <c r="E188" s="1" t="s">
        <v>2231</v>
      </c>
    </row>
    <row r="189" spans="1:5" ht="15" customHeight="1">
      <c r="A189" s="1">
        <v>152</v>
      </c>
      <c r="B189" s="1" t="s">
        <v>1575</v>
      </c>
      <c r="C189" s="1" t="s">
        <v>1574</v>
      </c>
      <c r="D189" s="1">
        <v>1</v>
      </c>
      <c r="E189" s="1" t="s">
        <v>2231</v>
      </c>
    </row>
    <row r="190" spans="1:5" ht="15" customHeight="1">
      <c r="A190" s="1">
        <v>153</v>
      </c>
      <c r="B190" s="1" t="s">
        <v>1577</v>
      </c>
      <c r="C190" s="1" t="s">
        <v>1576</v>
      </c>
      <c r="D190" s="1">
        <v>1</v>
      </c>
      <c r="E190" s="1" t="s">
        <v>2231</v>
      </c>
    </row>
    <row r="191" spans="1:5" ht="15" customHeight="1">
      <c r="A191" s="1">
        <v>154</v>
      </c>
      <c r="B191" s="1" t="s">
        <v>1579</v>
      </c>
      <c r="C191" s="1" t="s">
        <v>1578</v>
      </c>
      <c r="D191" s="1">
        <v>1</v>
      </c>
      <c r="E191" s="1" t="s">
        <v>2230</v>
      </c>
    </row>
    <row r="192" spans="1:5" ht="15" customHeight="1">
      <c r="A192" s="1">
        <v>155</v>
      </c>
      <c r="B192" s="1" t="s">
        <v>1581</v>
      </c>
      <c r="C192" s="1" t="s">
        <v>1580</v>
      </c>
      <c r="D192" s="1">
        <v>1</v>
      </c>
      <c r="E192" s="1" t="s">
        <v>2230</v>
      </c>
    </row>
    <row r="193" spans="1:5" ht="15" customHeight="1">
      <c r="A193" s="1">
        <v>156</v>
      </c>
      <c r="B193" s="1" t="s">
        <v>1583</v>
      </c>
      <c r="C193" s="1" t="s">
        <v>1582</v>
      </c>
      <c r="D193" s="1">
        <v>0</v>
      </c>
      <c r="E193" s="1" t="s">
        <v>2230</v>
      </c>
    </row>
    <row r="194" spans="1:5" ht="15" customHeight="1">
      <c r="A194" s="1">
        <v>157</v>
      </c>
      <c r="B194" s="1" t="s">
        <v>1585</v>
      </c>
      <c r="C194" s="1" t="s">
        <v>1584</v>
      </c>
      <c r="D194" s="1">
        <v>1</v>
      </c>
      <c r="E194" s="1" t="s">
        <v>2230</v>
      </c>
    </row>
    <row r="195" spans="1:5" ht="15" customHeight="1">
      <c r="A195" s="1">
        <v>158</v>
      </c>
      <c r="B195" s="1" t="s">
        <v>1587</v>
      </c>
      <c r="C195" s="1" t="s">
        <v>1586</v>
      </c>
      <c r="D195" s="1">
        <v>1</v>
      </c>
      <c r="E195" s="1" t="s">
        <v>2230</v>
      </c>
    </row>
    <row r="196" spans="1:5" ht="15" customHeight="1">
      <c r="A196" s="1">
        <v>159</v>
      </c>
      <c r="B196" s="1" t="s">
        <v>1589</v>
      </c>
      <c r="C196" s="1" t="s">
        <v>1588</v>
      </c>
      <c r="D196" s="1">
        <v>1</v>
      </c>
      <c r="E196" s="1" t="s">
        <v>2231</v>
      </c>
    </row>
    <row r="197" spans="1:5" ht="15" customHeight="1">
      <c r="A197" s="1">
        <v>160</v>
      </c>
      <c r="B197" s="1" t="s">
        <v>1591</v>
      </c>
      <c r="C197" s="1" t="s">
        <v>1590</v>
      </c>
      <c r="D197" s="1">
        <v>1</v>
      </c>
      <c r="E197" s="1" t="s">
        <v>2230</v>
      </c>
    </row>
    <row r="198" spans="1:5" ht="15" customHeight="1">
      <c r="A198" s="1">
        <v>161</v>
      </c>
      <c r="B198" s="1" t="s">
        <v>1593</v>
      </c>
      <c r="C198" s="1" t="s">
        <v>1592</v>
      </c>
      <c r="D198" s="1">
        <v>1</v>
      </c>
      <c r="E198" s="1" t="s">
        <v>2231</v>
      </c>
    </row>
    <row r="199" spans="1:5" ht="15" customHeight="1">
      <c r="A199" s="1">
        <v>162</v>
      </c>
      <c r="B199" s="1" t="s">
        <v>1594</v>
      </c>
      <c r="C199" s="1" t="s">
        <v>14</v>
      </c>
      <c r="D199" s="1">
        <v>1</v>
      </c>
      <c r="E199" s="1" t="s">
        <v>2230</v>
      </c>
    </row>
    <row r="200" spans="1:5" ht="15" customHeight="1">
      <c r="A200" s="1">
        <v>163</v>
      </c>
      <c r="B200" s="1" t="s">
        <v>1596</v>
      </c>
      <c r="C200" s="1" t="s">
        <v>1595</v>
      </c>
      <c r="D200" s="1">
        <v>1</v>
      </c>
      <c r="E200" s="1" t="s">
        <v>2231</v>
      </c>
    </row>
    <row r="201" spans="1:5" ht="15" customHeight="1">
      <c r="A201" s="1">
        <v>164</v>
      </c>
      <c r="B201" s="1" t="s">
        <v>1598</v>
      </c>
      <c r="C201" s="1" t="s">
        <v>1597</v>
      </c>
      <c r="D201" s="1">
        <v>1</v>
      </c>
      <c r="E201" s="1" t="s">
        <v>2230</v>
      </c>
    </row>
    <row r="202" spans="1:5" ht="15" customHeight="1">
      <c r="A202" s="1">
        <v>165</v>
      </c>
      <c r="B202" s="1" t="s">
        <v>1600</v>
      </c>
      <c r="C202" s="1" t="s">
        <v>1599</v>
      </c>
      <c r="D202" s="1">
        <v>1</v>
      </c>
      <c r="E202" s="1" t="s">
        <v>2230</v>
      </c>
    </row>
    <row r="203" spans="1:5" ht="15" customHeight="1">
      <c r="A203" s="1">
        <v>166</v>
      </c>
      <c r="B203" s="1" t="s">
        <v>1602</v>
      </c>
      <c r="C203" s="1" t="s">
        <v>1601</v>
      </c>
      <c r="D203" s="1">
        <v>0</v>
      </c>
      <c r="E203" s="1" t="s">
        <v>2230</v>
      </c>
    </row>
    <row r="204" spans="1:5" ht="15" customHeight="1">
      <c r="A204" s="1">
        <v>167</v>
      </c>
      <c r="B204" s="1" t="s">
        <v>1604</v>
      </c>
      <c r="C204" s="1" t="s">
        <v>1603</v>
      </c>
      <c r="D204" s="1">
        <v>1</v>
      </c>
      <c r="E204" s="1" t="s">
        <v>2230</v>
      </c>
    </row>
    <row r="205" spans="1:5" ht="15" customHeight="1">
      <c r="A205" s="1">
        <v>168</v>
      </c>
      <c r="B205" s="1" t="s">
        <v>1606</v>
      </c>
      <c r="C205" s="1" t="s">
        <v>1605</v>
      </c>
      <c r="D205" s="1">
        <v>1</v>
      </c>
      <c r="E205" s="1" t="s">
        <v>2230</v>
      </c>
    </row>
    <row r="206" spans="1:5" ht="15" customHeight="1">
      <c r="A206" s="1">
        <v>169</v>
      </c>
      <c r="B206" s="1" t="s">
        <v>1608</v>
      </c>
      <c r="C206" s="1" t="s">
        <v>1607</v>
      </c>
      <c r="D206" s="1">
        <v>1</v>
      </c>
      <c r="E206" s="1" t="s">
        <v>2230</v>
      </c>
    </row>
    <row r="207" spans="1:5" ht="15" customHeight="1">
      <c r="A207" s="1">
        <v>170</v>
      </c>
      <c r="B207" s="1" t="s">
        <v>1610</v>
      </c>
      <c r="C207" s="1" t="s">
        <v>1609</v>
      </c>
      <c r="D207" s="1">
        <v>1</v>
      </c>
      <c r="E207" s="1" t="s">
        <v>2230</v>
      </c>
    </row>
    <row r="208" spans="1:5" ht="15" customHeight="1">
      <c r="A208" s="1">
        <v>171</v>
      </c>
      <c r="B208" s="1" t="s">
        <v>1612</v>
      </c>
      <c r="C208" s="1" t="s">
        <v>1611</v>
      </c>
      <c r="D208" s="1">
        <v>1</v>
      </c>
      <c r="E208" s="1" t="s">
        <v>2231</v>
      </c>
    </row>
    <row r="209" spans="1:5" ht="15" customHeight="1">
      <c r="A209" s="1">
        <v>172</v>
      </c>
      <c r="B209" s="1" t="s">
        <v>1614</v>
      </c>
      <c r="C209" s="1" t="s">
        <v>1613</v>
      </c>
      <c r="D209" s="1">
        <v>1</v>
      </c>
      <c r="E209" s="1" t="s">
        <v>2230</v>
      </c>
    </row>
    <row r="210" spans="1:5" ht="15" customHeight="1">
      <c r="A210" s="1">
        <v>173</v>
      </c>
      <c r="B210" s="1" t="s">
        <v>1616</v>
      </c>
      <c r="C210" s="1" t="s">
        <v>1615</v>
      </c>
      <c r="D210" s="1">
        <v>1</v>
      </c>
      <c r="E210" s="1" t="s">
        <v>2230</v>
      </c>
    </row>
    <row r="211" spans="1:5" ht="15" customHeight="1">
      <c r="A211" s="1">
        <v>174</v>
      </c>
      <c r="B211" s="1" t="s">
        <v>1618</v>
      </c>
      <c r="C211" s="1" t="s">
        <v>1617</v>
      </c>
      <c r="D211" s="1">
        <v>1</v>
      </c>
      <c r="E211" s="1" t="s">
        <v>2230</v>
      </c>
    </row>
    <row r="212" spans="1:5" ht="15" customHeight="1">
      <c r="A212" s="1">
        <v>175</v>
      </c>
      <c r="B212" s="1" t="s">
        <v>1620</v>
      </c>
      <c r="C212" s="1" t="s">
        <v>1619</v>
      </c>
      <c r="D212" s="1">
        <v>1</v>
      </c>
      <c r="E212" s="1" t="s">
        <v>2230</v>
      </c>
    </row>
    <row r="213" spans="1:5" ht="15" customHeight="1">
      <c r="A213" s="1">
        <v>176</v>
      </c>
      <c r="B213" s="1" t="s">
        <v>1622</v>
      </c>
      <c r="C213" s="1" t="s">
        <v>1621</v>
      </c>
      <c r="D213" s="1">
        <v>1</v>
      </c>
      <c r="E213" s="1" t="s">
        <v>2231</v>
      </c>
    </row>
    <row r="214" spans="1:5" ht="15" customHeight="1">
      <c r="A214" s="1">
        <v>177</v>
      </c>
      <c r="B214" s="1" t="s">
        <v>1624</v>
      </c>
      <c r="C214" s="1" t="s">
        <v>1623</v>
      </c>
      <c r="D214" s="1">
        <v>1</v>
      </c>
      <c r="E214" s="1" t="s">
        <v>2230</v>
      </c>
    </row>
    <row r="215" spans="1:5" ht="15" customHeight="1">
      <c r="A215" s="1">
        <v>178</v>
      </c>
      <c r="B215" s="1" t="s">
        <v>1626</v>
      </c>
      <c r="C215" s="1" t="s">
        <v>1625</v>
      </c>
      <c r="D215" s="1">
        <v>1</v>
      </c>
      <c r="E215" s="1" t="s">
        <v>2230</v>
      </c>
    </row>
    <row r="216" spans="1:5" ht="15" customHeight="1">
      <c r="A216" s="1">
        <v>179</v>
      </c>
      <c r="B216" s="1" t="s">
        <v>1628</v>
      </c>
      <c r="C216" s="1" t="s">
        <v>1627</v>
      </c>
      <c r="D216" s="1">
        <v>0</v>
      </c>
      <c r="E216" s="1" t="s">
        <v>2230</v>
      </c>
    </row>
    <row r="217" spans="1:5" ht="15" customHeight="1">
      <c r="A217" s="1">
        <v>180</v>
      </c>
      <c r="B217" s="1" t="s">
        <v>1630</v>
      </c>
      <c r="C217" s="1" t="s">
        <v>1629</v>
      </c>
      <c r="D217" s="1">
        <v>0</v>
      </c>
      <c r="E217" s="1" t="s">
        <v>2230</v>
      </c>
    </row>
    <row r="218" spans="1:5" ht="15" customHeight="1">
      <c r="A218" s="1">
        <v>181</v>
      </c>
      <c r="B218" s="1" t="s">
        <v>1632</v>
      </c>
      <c r="C218" s="1" t="s">
        <v>1631</v>
      </c>
      <c r="D218" s="1">
        <v>1</v>
      </c>
      <c r="E218" s="1" t="s">
        <v>2230</v>
      </c>
    </row>
    <row r="219" spans="1:5" ht="15" customHeight="1">
      <c r="A219" s="1">
        <v>182</v>
      </c>
      <c r="B219" s="1" t="s">
        <v>1634</v>
      </c>
      <c r="C219" s="1" t="s">
        <v>1633</v>
      </c>
      <c r="D219" s="1">
        <v>1</v>
      </c>
      <c r="E219" s="1" t="s">
        <v>2230</v>
      </c>
    </row>
    <row r="220" spans="1:5" ht="15" customHeight="1">
      <c r="A220" s="1">
        <v>183</v>
      </c>
      <c r="B220" s="1" t="s">
        <v>1636</v>
      </c>
      <c r="C220" s="1" t="s">
        <v>1635</v>
      </c>
      <c r="D220" s="1">
        <v>0</v>
      </c>
      <c r="E220" s="1" t="s">
        <v>2230</v>
      </c>
    </row>
    <row r="221" spans="1:5" ht="15" customHeight="1">
      <c r="A221" s="1">
        <v>184</v>
      </c>
      <c r="B221" s="1" t="s">
        <v>1638</v>
      </c>
      <c r="C221" s="1" t="s">
        <v>1637</v>
      </c>
      <c r="D221" s="1">
        <v>1</v>
      </c>
      <c r="E221" s="1" t="s">
        <v>2230</v>
      </c>
    </row>
    <row r="222" spans="1:5" ht="15" customHeight="1">
      <c r="A222" s="1">
        <v>185</v>
      </c>
      <c r="B222" s="1" t="s">
        <v>1640</v>
      </c>
      <c r="C222" s="1" t="s">
        <v>1639</v>
      </c>
      <c r="D222" s="1">
        <v>1</v>
      </c>
      <c r="E222" s="1" t="s">
        <v>2230</v>
      </c>
    </row>
    <row r="223" spans="1:5" ht="15" customHeight="1">
      <c r="A223" s="1">
        <v>186</v>
      </c>
      <c r="B223" s="1" t="s">
        <v>1642</v>
      </c>
      <c r="C223" s="1" t="s">
        <v>1641</v>
      </c>
      <c r="D223" s="1">
        <v>1</v>
      </c>
      <c r="E223" s="1" t="s">
        <v>2230</v>
      </c>
    </row>
    <row r="224" spans="1:5" ht="15" customHeight="1">
      <c r="A224" s="1">
        <v>187</v>
      </c>
      <c r="B224" s="1" t="s">
        <v>1644</v>
      </c>
      <c r="C224" s="1" t="s">
        <v>1643</v>
      </c>
      <c r="D224" s="1">
        <v>1</v>
      </c>
      <c r="E224" s="1" t="s">
        <v>2230</v>
      </c>
    </row>
    <row r="225" spans="1:5" ht="15" customHeight="1">
      <c r="A225" s="1">
        <v>188</v>
      </c>
      <c r="B225" s="1" t="s">
        <v>1646</v>
      </c>
      <c r="C225" s="1" t="s">
        <v>1645</v>
      </c>
      <c r="D225" s="1">
        <v>0</v>
      </c>
      <c r="E225" s="1" t="s">
        <v>2230</v>
      </c>
    </row>
    <row r="226" spans="1:5" ht="15" customHeight="1">
      <c r="A226" s="1">
        <v>189</v>
      </c>
      <c r="B226" s="1" t="s">
        <v>1648</v>
      </c>
      <c r="C226" s="1" t="s">
        <v>1647</v>
      </c>
      <c r="D226" s="1">
        <v>1</v>
      </c>
      <c r="E226" s="1" t="s">
        <v>2230</v>
      </c>
    </row>
    <row r="227" spans="1:5" ht="15" customHeight="1">
      <c r="A227" s="1">
        <v>190</v>
      </c>
      <c r="B227" s="1" t="s">
        <v>1650</v>
      </c>
      <c r="C227" s="1" t="s">
        <v>1649</v>
      </c>
      <c r="D227" s="1">
        <v>0</v>
      </c>
      <c r="E227" s="1" t="s">
        <v>2230</v>
      </c>
    </row>
    <row r="228" spans="1:5" ht="15" customHeight="1">
      <c r="A228" s="1">
        <v>191</v>
      </c>
      <c r="B228" s="1" t="s">
        <v>1652</v>
      </c>
      <c r="C228" s="1" t="s">
        <v>1651</v>
      </c>
      <c r="D228" s="1">
        <v>1</v>
      </c>
      <c r="E228" s="1" t="s">
        <v>2230</v>
      </c>
    </row>
    <row r="229" spans="1:5" ht="15" customHeight="1">
      <c r="A229" s="1">
        <v>192</v>
      </c>
      <c r="B229" s="1" t="s">
        <v>1654</v>
      </c>
      <c r="C229" s="1" t="s">
        <v>1653</v>
      </c>
      <c r="D229" s="1">
        <v>0</v>
      </c>
      <c r="E229" s="1" t="s">
        <v>2230</v>
      </c>
    </row>
    <row r="230" spans="1:5" ht="15" customHeight="1">
      <c r="A230" s="1">
        <v>193</v>
      </c>
      <c r="B230" s="1" t="s">
        <v>1656</v>
      </c>
      <c r="C230" s="1" t="s">
        <v>1655</v>
      </c>
      <c r="D230" s="1">
        <v>0</v>
      </c>
      <c r="E230" s="1" t="s">
        <v>2230</v>
      </c>
    </row>
    <row r="231" spans="1:5" ht="15" customHeight="1">
      <c r="A231" s="1">
        <v>194</v>
      </c>
      <c r="B231" s="1" t="s">
        <v>1658</v>
      </c>
      <c r="C231" s="1" t="s">
        <v>1657</v>
      </c>
      <c r="D231" s="1">
        <v>0</v>
      </c>
      <c r="E231" s="1" t="s">
        <v>2230</v>
      </c>
    </row>
    <row r="232" spans="1:5" ht="15" customHeight="1">
      <c r="A232" s="1">
        <v>195</v>
      </c>
      <c r="B232" s="1" t="s">
        <v>1660</v>
      </c>
      <c r="C232" s="1" t="s">
        <v>1659</v>
      </c>
      <c r="D232" s="1">
        <v>0</v>
      </c>
      <c r="E232" s="1" t="s">
        <v>2231</v>
      </c>
    </row>
    <row r="233" spans="1:5" ht="15" customHeight="1">
      <c r="A233" s="1">
        <v>196</v>
      </c>
      <c r="B233" s="1" t="s">
        <v>1662</v>
      </c>
      <c r="C233" s="1" t="s">
        <v>1661</v>
      </c>
      <c r="D233" s="1">
        <v>1</v>
      </c>
      <c r="E233" s="1" t="s">
        <v>2230</v>
      </c>
    </row>
    <row r="234" spans="1:5" ht="15" customHeight="1">
      <c r="A234" s="1">
        <v>197</v>
      </c>
      <c r="B234" s="1" t="s">
        <v>1664</v>
      </c>
      <c r="C234" s="1" t="s">
        <v>1663</v>
      </c>
      <c r="D234" s="1">
        <v>1</v>
      </c>
      <c r="E234" s="1" t="s">
        <v>2231</v>
      </c>
    </row>
    <row r="235" spans="1:5" ht="15" customHeight="1">
      <c r="A235" s="1">
        <v>198</v>
      </c>
      <c r="B235" s="1" t="s">
        <v>1666</v>
      </c>
      <c r="C235" s="1" t="s">
        <v>1665</v>
      </c>
      <c r="D235" s="1">
        <v>1</v>
      </c>
      <c r="E235" s="1" t="s">
        <v>2230</v>
      </c>
    </row>
    <row r="236" spans="1:5" ht="15" customHeight="1">
      <c r="A236" s="1">
        <v>199</v>
      </c>
      <c r="B236" s="1" t="s">
        <v>1668</v>
      </c>
      <c r="C236" s="1" t="s">
        <v>1667</v>
      </c>
      <c r="D236" s="1">
        <v>1</v>
      </c>
      <c r="E236" s="1" t="s">
        <v>2230</v>
      </c>
    </row>
    <row r="237" spans="1:5" ht="15" customHeight="1">
      <c r="A237" s="1">
        <v>200</v>
      </c>
      <c r="B237" s="1" t="s">
        <v>1670</v>
      </c>
      <c r="C237" s="1" t="s">
        <v>1669</v>
      </c>
      <c r="D237" s="1">
        <v>0</v>
      </c>
      <c r="E237" s="1" t="s">
        <v>2231</v>
      </c>
    </row>
    <row r="238" spans="1:5" ht="15" customHeight="1">
      <c r="A238" s="1">
        <v>201</v>
      </c>
      <c r="B238" s="1" t="s">
        <v>1672</v>
      </c>
      <c r="C238" s="1" t="s">
        <v>1671</v>
      </c>
      <c r="D238" s="1">
        <v>1</v>
      </c>
      <c r="E238" s="1" t="s">
        <v>2230</v>
      </c>
    </row>
    <row r="239" spans="1:5" ht="15" customHeight="1">
      <c r="A239" s="1">
        <v>202</v>
      </c>
      <c r="B239" s="1" t="s">
        <v>1674</v>
      </c>
      <c r="C239" s="1" t="s">
        <v>1673</v>
      </c>
      <c r="D239" s="1">
        <v>0</v>
      </c>
      <c r="E239" s="1" t="s">
        <v>2230</v>
      </c>
    </row>
    <row r="240" spans="1:5" ht="15" customHeight="1">
      <c r="A240" s="1">
        <v>203</v>
      </c>
      <c r="B240" s="1" t="s">
        <v>1676</v>
      </c>
      <c r="C240" s="1" t="s">
        <v>1675</v>
      </c>
      <c r="D240" s="1">
        <v>0</v>
      </c>
      <c r="E240" s="1" t="s">
        <v>2230</v>
      </c>
    </row>
    <row r="241" spans="1:5" ht="15" customHeight="1">
      <c r="A241" s="1">
        <v>204</v>
      </c>
      <c r="B241" s="1" t="s">
        <v>1678</v>
      </c>
      <c r="C241" s="1" t="s">
        <v>1677</v>
      </c>
      <c r="D241" s="1">
        <v>1</v>
      </c>
      <c r="E241" s="1" t="s">
        <v>2230</v>
      </c>
    </row>
    <row r="242" spans="1:5" ht="15" customHeight="1">
      <c r="A242" s="1">
        <v>205</v>
      </c>
      <c r="B242" s="1" t="s">
        <v>1680</v>
      </c>
      <c r="C242" s="1" t="s">
        <v>1679</v>
      </c>
      <c r="D242" s="1">
        <v>0</v>
      </c>
      <c r="E242" s="1" t="s">
        <v>2230</v>
      </c>
    </row>
    <row r="243" spans="1:5" ht="15" customHeight="1">
      <c r="A243" s="1">
        <v>206</v>
      </c>
      <c r="B243" s="1" t="s">
        <v>1682</v>
      </c>
      <c r="C243" s="1" t="s">
        <v>1681</v>
      </c>
      <c r="D243" s="1">
        <v>0</v>
      </c>
      <c r="E243" s="1" t="s">
        <v>2230</v>
      </c>
    </row>
    <row r="244" spans="1:5" ht="15" customHeight="1">
      <c r="A244" s="1">
        <v>207</v>
      </c>
      <c r="B244" s="1" t="s">
        <v>1684</v>
      </c>
      <c r="C244" s="1" t="s">
        <v>1683</v>
      </c>
      <c r="D244" s="1">
        <v>1</v>
      </c>
      <c r="E244" s="1" t="s">
        <v>2231</v>
      </c>
    </row>
    <row r="245" spans="1:5" ht="15" customHeight="1">
      <c r="A245" s="1">
        <v>208</v>
      </c>
      <c r="B245" s="1" t="s">
        <v>1686</v>
      </c>
      <c r="C245" s="1" t="s">
        <v>1685</v>
      </c>
      <c r="D245" s="1">
        <v>1</v>
      </c>
      <c r="E245" s="1" t="s">
        <v>2230</v>
      </c>
    </row>
    <row r="246" spans="1:5" ht="15" customHeight="1">
      <c r="A246" s="1">
        <v>209</v>
      </c>
      <c r="B246" s="1" t="s">
        <v>1688</v>
      </c>
      <c r="C246" s="1" t="s">
        <v>1687</v>
      </c>
      <c r="D246" s="1">
        <v>1</v>
      </c>
      <c r="E246" s="1" t="s">
        <v>2230</v>
      </c>
    </row>
    <row r="247" spans="1:5" ht="15" customHeight="1">
      <c r="A247" s="1">
        <v>210</v>
      </c>
      <c r="B247" s="1" t="s">
        <v>1690</v>
      </c>
      <c r="C247" s="1" t="s">
        <v>1689</v>
      </c>
      <c r="D247" s="1">
        <v>1</v>
      </c>
      <c r="E247" s="1" t="s">
        <v>2231</v>
      </c>
    </row>
    <row r="248" spans="1:5" ht="15" customHeight="1">
      <c r="A248" s="1">
        <v>211</v>
      </c>
      <c r="B248" s="1" t="s">
        <v>1692</v>
      </c>
      <c r="C248" s="1" t="s">
        <v>1691</v>
      </c>
      <c r="D248" s="1">
        <v>1</v>
      </c>
      <c r="E248" s="1" t="s">
        <v>2230</v>
      </c>
    </row>
    <row r="249" spans="1:5" ht="15" customHeight="1">
      <c r="A249" s="1">
        <v>212</v>
      </c>
      <c r="B249" s="1" t="s">
        <v>1694</v>
      </c>
      <c r="C249" s="1" t="s">
        <v>1693</v>
      </c>
      <c r="D249" s="1">
        <v>1</v>
      </c>
      <c r="E249" s="1" t="s">
        <v>2230</v>
      </c>
    </row>
    <row r="250" spans="1:5" ht="15" customHeight="1">
      <c r="A250" s="1">
        <v>213</v>
      </c>
      <c r="B250" s="1" t="s">
        <v>1696</v>
      </c>
      <c r="C250" s="1" t="s">
        <v>1695</v>
      </c>
      <c r="D250" s="1">
        <v>1</v>
      </c>
      <c r="E250" s="1" t="s">
        <v>2230</v>
      </c>
    </row>
    <row r="251" spans="1:5" ht="15" customHeight="1">
      <c r="A251" s="1">
        <v>214</v>
      </c>
      <c r="B251" s="1" t="s">
        <v>1698</v>
      </c>
      <c r="C251" s="1" t="s">
        <v>1697</v>
      </c>
      <c r="D251" s="1">
        <v>1</v>
      </c>
      <c r="E251" s="1" t="s">
        <v>2230</v>
      </c>
    </row>
    <row r="252" spans="1:5" ht="15" customHeight="1">
      <c r="A252" s="1">
        <v>215</v>
      </c>
      <c r="B252" s="1" t="s">
        <v>1700</v>
      </c>
      <c r="C252" s="1" t="s">
        <v>1699</v>
      </c>
      <c r="D252" s="1">
        <v>1</v>
      </c>
      <c r="E252" s="1" t="s">
        <v>2230</v>
      </c>
    </row>
    <row r="253" spans="1:5" ht="15" customHeight="1">
      <c r="A253" s="1">
        <v>216</v>
      </c>
      <c r="B253" s="1" t="s">
        <v>1702</v>
      </c>
      <c r="C253" s="1" t="s">
        <v>1701</v>
      </c>
      <c r="D253" s="1">
        <v>0</v>
      </c>
      <c r="E253" s="1" t="s">
        <v>2230</v>
      </c>
    </row>
    <row r="254" spans="1:5" ht="15" customHeight="1">
      <c r="A254" s="1">
        <v>217</v>
      </c>
      <c r="B254" s="1" t="s">
        <v>1704</v>
      </c>
      <c r="C254" s="1" t="s">
        <v>1703</v>
      </c>
      <c r="D254" s="1">
        <v>1</v>
      </c>
      <c r="E254" s="1" t="s">
        <v>2230</v>
      </c>
    </row>
    <row r="255" spans="1:5" ht="15" customHeight="1">
      <c r="A255" s="1">
        <v>218</v>
      </c>
      <c r="B255" s="1" t="s">
        <v>1706</v>
      </c>
      <c r="C255" s="1" t="s">
        <v>1705</v>
      </c>
      <c r="D255" s="1">
        <v>1</v>
      </c>
      <c r="E255" s="1" t="s">
        <v>2230</v>
      </c>
    </row>
    <row r="256" spans="1:5" ht="15" customHeight="1">
      <c r="A256" s="1">
        <v>219</v>
      </c>
      <c r="B256" s="1" t="s">
        <v>1708</v>
      </c>
      <c r="C256" s="1" t="s">
        <v>1707</v>
      </c>
      <c r="D256" s="1">
        <v>1</v>
      </c>
      <c r="E256" s="1" t="s">
        <v>2230</v>
      </c>
    </row>
    <row r="257" spans="1:5" ht="15" customHeight="1">
      <c r="A257" s="1">
        <v>220</v>
      </c>
      <c r="B257" s="1" t="s">
        <v>1710</v>
      </c>
      <c r="C257" s="1" t="s">
        <v>1709</v>
      </c>
      <c r="D257" s="1">
        <v>1</v>
      </c>
      <c r="E257" s="1" t="s">
        <v>2230</v>
      </c>
    </row>
    <row r="258" spans="1:5" ht="15" customHeight="1">
      <c r="A258" s="1">
        <v>221</v>
      </c>
      <c r="B258" s="1" t="s">
        <v>1712</v>
      </c>
      <c r="C258" s="1" t="s">
        <v>1711</v>
      </c>
      <c r="D258" s="1">
        <v>1</v>
      </c>
      <c r="E258" s="1" t="s">
        <v>2230</v>
      </c>
    </row>
    <row r="259" spans="1:5" ht="15" customHeight="1">
      <c r="A259" s="1">
        <v>222</v>
      </c>
      <c r="B259" s="1" t="s">
        <v>1714</v>
      </c>
      <c r="C259" s="1" t="s">
        <v>1713</v>
      </c>
      <c r="D259" s="1">
        <v>0</v>
      </c>
      <c r="E259" s="1" t="s">
        <v>2230</v>
      </c>
    </row>
    <row r="260" spans="1:5" ht="15" customHeight="1">
      <c r="A260" s="1">
        <v>223</v>
      </c>
      <c r="B260" s="1" t="s">
        <v>1716</v>
      </c>
      <c r="C260" s="1" t="s">
        <v>1715</v>
      </c>
      <c r="D260" s="1">
        <v>1</v>
      </c>
      <c r="E260" s="1" t="s">
        <v>2230</v>
      </c>
    </row>
    <row r="261" spans="1:5" ht="15" customHeight="1">
      <c r="A261" s="1">
        <v>224</v>
      </c>
      <c r="B261" s="1" t="s">
        <v>1718</v>
      </c>
      <c r="C261" s="1" t="s">
        <v>1717</v>
      </c>
      <c r="D261" s="1">
        <v>1</v>
      </c>
      <c r="E261" s="1" t="s">
        <v>2230</v>
      </c>
    </row>
    <row r="262" spans="1:5" ht="15" customHeight="1">
      <c r="A262" s="1">
        <v>225</v>
      </c>
      <c r="B262" s="1" t="s">
        <v>1720</v>
      </c>
      <c r="C262" s="1" t="s">
        <v>1719</v>
      </c>
      <c r="D262" s="1">
        <v>0</v>
      </c>
      <c r="E262" s="1" t="s">
        <v>2230</v>
      </c>
    </row>
    <row r="263" spans="1:5" ht="15" customHeight="1">
      <c r="A263" s="1">
        <v>226</v>
      </c>
      <c r="B263" s="1" t="s">
        <v>1722</v>
      </c>
      <c r="C263" s="1" t="s">
        <v>1721</v>
      </c>
      <c r="D263" s="1">
        <v>1</v>
      </c>
      <c r="E263" s="1" t="s">
        <v>2230</v>
      </c>
    </row>
    <row r="264" spans="1:5" ht="15" customHeight="1">
      <c r="A264" s="1">
        <v>227</v>
      </c>
      <c r="B264" s="1" t="s">
        <v>1724</v>
      </c>
      <c r="C264" s="1" t="s">
        <v>1723</v>
      </c>
      <c r="D264" s="1">
        <v>1</v>
      </c>
      <c r="E264" s="1" t="s">
        <v>2230</v>
      </c>
    </row>
    <row r="265" spans="1:5" ht="15" customHeight="1">
      <c r="A265" s="1">
        <v>228</v>
      </c>
      <c r="B265" s="1" t="s">
        <v>1726</v>
      </c>
      <c r="C265" s="1" t="s">
        <v>1725</v>
      </c>
      <c r="D265" s="1">
        <v>0</v>
      </c>
      <c r="E265" s="1" t="s">
        <v>2230</v>
      </c>
    </row>
    <row r="266" spans="1:5" ht="15" customHeight="1">
      <c r="A266" s="1">
        <v>229</v>
      </c>
      <c r="B266" s="1" t="s">
        <v>1728</v>
      </c>
      <c r="C266" s="1" t="s">
        <v>1727</v>
      </c>
      <c r="D266" s="1">
        <v>1</v>
      </c>
      <c r="E266" s="1" t="s">
        <v>2230</v>
      </c>
    </row>
    <row r="267" spans="1:5" ht="15" customHeight="1">
      <c r="A267" s="1">
        <v>230</v>
      </c>
      <c r="B267" s="1" t="s">
        <v>1730</v>
      </c>
      <c r="C267" s="1" t="s">
        <v>1729</v>
      </c>
      <c r="D267" s="1">
        <v>1</v>
      </c>
      <c r="E267" s="1" t="s">
        <v>2230</v>
      </c>
    </row>
    <row r="268" spans="1:5" ht="15" customHeight="1">
      <c r="A268" s="1">
        <v>231</v>
      </c>
      <c r="B268" s="1" t="s">
        <v>1732</v>
      </c>
      <c r="C268" s="1" t="s">
        <v>1731</v>
      </c>
      <c r="D268" s="1">
        <v>0</v>
      </c>
      <c r="E268" s="1" t="s">
        <v>2231</v>
      </c>
    </row>
    <row r="269" spans="1:5" ht="15" customHeight="1">
      <c r="A269" s="1">
        <v>232</v>
      </c>
      <c r="B269" s="1" t="s">
        <v>1734</v>
      </c>
      <c r="C269" s="1" t="s">
        <v>1733</v>
      </c>
      <c r="D269" s="1">
        <v>0</v>
      </c>
      <c r="E269" s="1" t="s">
        <v>2230</v>
      </c>
    </row>
    <row r="270" spans="1:5" ht="15" customHeight="1">
      <c r="A270" s="1">
        <v>233</v>
      </c>
      <c r="B270" s="1" t="s">
        <v>1736</v>
      </c>
      <c r="C270" s="1" t="s">
        <v>1735</v>
      </c>
      <c r="D270" s="1">
        <v>0</v>
      </c>
      <c r="E270" s="1" t="s">
        <v>2230</v>
      </c>
    </row>
    <row r="271" spans="1:5" ht="15" customHeight="1">
      <c r="A271" s="1">
        <v>234</v>
      </c>
      <c r="B271" s="1" t="s">
        <v>1738</v>
      </c>
      <c r="C271" s="1" t="s">
        <v>1737</v>
      </c>
      <c r="D271" s="1">
        <v>1</v>
      </c>
      <c r="E271" s="1" t="s">
        <v>2230</v>
      </c>
    </row>
    <row r="272" spans="1:5" ht="15" customHeight="1">
      <c r="A272" s="1">
        <v>235</v>
      </c>
      <c r="B272" s="1" t="s">
        <v>1740</v>
      </c>
      <c r="C272" s="1" t="s">
        <v>1739</v>
      </c>
      <c r="D272" s="1">
        <v>0</v>
      </c>
      <c r="E272" s="1" t="s">
        <v>2230</v>
      </c>
    </row>
    <row r="273" spans="1:5" ht="15" customHeight="1">
      <c r="A273" s="1">
        <v>236</v>
      </c>
      <c r="B273" s="1" t="s">
        <v>1742</v>
      </c>
      <c r="C273" s="1" t="s">
        <v>1741</v>
      </c>
      <c r="D273" s="1">
        <v>1</v>
      </c>
      <c r="E273" s="1" t="s">
        <v>2231</v>
      </c>
    </row>
    <row r="274" spans="1:5" ht="15" customHeight="1">
      <c r="A274" s="1">
        <v>237</v>
      </c>
      <c r="B274" s="1" t="s">
        <v>1744</v>
      </c>
      <c r="C274" s="1" t="s">
        <v>1743</v>
      </c>
      <c r="D274" s="1">
        <v>0</v>
      </c>
      <c r="E274" s="1" t="s">
        <v>2230</v>
      </c>
    </row>
    <row r="275" spans="1:5" ht="15" customHeight="1">
      <c r="A275" s="1">
        <v>238</v>
      </c>
      <c r="B275" s="1" t="s">
        <v>1746</v>
      </c>
      <c r="C275" s="1" t="s">
        <v>1745</v>
      </c>
      <c r="D275" s="1">
        <v>1</v>
      </c>
      <c r="E275" s="1" t="s">
        <v>2230</v>
      </c>
    </row>
    <row r="276" spans="1:5" ht="15" customHeight="1">
      <c r="A276" s="1">
        <v>239</v>
      </c>
      <c r="B276" s="1" t="s">
        <v>1748</v>
      </c>
      <c r="C276" s="1" t="s">
        <v>1747</v>
      </c>
      <c r="D276" s="1">
        <v>1</v>
      </c>
      <c r="E276" s="1" t="s">
        <v>2231</v>
      </c>
    </row>
    <row r="277" spans="1:5" ht="15" customHeight="1">
      <c r="A277" s="1">
        <v>240</v>
      </c>
      <c r="B277" s="1" t="s">
        <v>1750</v>
      </c>
      <c r="C277" s="1" t="s">
        <v>1749</v>
      </c>
      <c r="D277" s="1">
        <v>1</v>
      </c>
      <c r="E277" s="1" t="s">
        <v>2230</v>
      </c>
    </row>
    <row r="278" spans="1:5" ht="15" customHeight="1">
      <c r="A278" s="1">
        <v>241</v>
      </c>
      <c r="B278" s="1" t="s">
        <v>1752</v>
      </c>
      <c r="C278" s="1" t="s">
        <v>1751</v>
      </c>
      <c r="D278" s="1">
        <v>0</v>
      </c>
      <c r="E278" s="1" t="s">
        <v>2230</v>
      </c>
    </row>
    <row r="279" spans="1:5" ht="15" customHeight="1">
      <c r="A279" s="1">
        <v>242</v>
      </c>
      <c r="B279" s="1" t="s">
        <v>1754</v>
      </c>
      <c r="C279" s="1" t="s">
        <v>1753</v>
      </c>
      <c r="D279" s="1">
        <v>1</v>
      </c>
      <c r="E279" s="1" t="s">
        <v>2230</v>
      </c>
    </row>
    <row r="280" spans="1:5" ht="15" customHeight="1">
      <c r="A280" s="1">
        <v>243</v>
      </c>
      <c r="B280" s="1" t="s">
        <v>1756</v>
      </c>
      <c r="C280" s="1" t="s">
        <v>1755</v>
      </c>
      <c r="D280" s="1">
        <v>1</v>
      </c>
      <c r="E280" s="1" t="s">
        <v>2231</v>
      </c>
    </row>
    <row r="281" spans="1:5" ht="15" customHeight="1">
      <c r="A281" s="1">
        <v>244</v>
      </c>
      <c r="B281" s="1" t="s">
        <v>1758</v>
      </c>
      <c r="C281" s="1" t="s">
        <v>1757</v>
      </c>
      <c r="D281" s="1">
        <v>1</v>
      </c>
      <c r="E281" s="1" t="s">
        <v>2230</v>
      </c>
    </row>
    <row r="282" spans="1:5" ht="15" customHeight="1">
      <c r="A282" s="1">
        <v>245</v>
      </c>
      <c r="B282" s="1" t="s">
        <v>1760</v>
      </c>
      <c r="C282" s="1" t="s">
        <v>1759</v>
      </c>
      <c r="D282" s="1">
        <v>0</v>
      </c>
      <c r="E282" s="1" t="s">
        <v>2230</v>
      </c>
    </row>
    <row r="283" spans="1:5" ht="15" customHeight="1">
      <c r="A283" s="1">
        <v>246</v>
      </c>
      <c r="B283" s="1" t="s">
        <v>1762</v>
      </c>
      <c r="C283" s="1" t="s">
        <v>1761</v>
      </c>
      <c r="D283" s="1">
        <v>1</v>
      </c>
      <c r="E283" s="1" t="s">
        <v>2230</v>
      </c>
    </row>
    <row r="284" spans="1:5" ht="15" customHeight="1">
      <c r="A284" s="1">
        <v>247</v>
      </c>
      <c r="B284" s="1" t="s">
        <v>1764</v>
      </c>
      <c r="C284" s="1" t="s">
        <v>1763</v>
      </c>
      <c r="D284" s="1">
        <v>0</v>
      </c>
      <c r="E284" s="1" t="s">
        <v>2230</v>
      </c>
    </row>
    <row r="285" spans="1:5" ht="15" customHeight="1">
      <c r="A285" s="1">
        <v>248</v>
      </c>
      <c r="B285" s="1" t="s">
        <v>1766</v>
      </c>
      <c r="C285" s="1" t="s">
        <v>1765</v>
      </c>
      <c r="D285" s="1">
        <v>1</v>
      </c>
      <c r="E285" s="1" t="s">
        <v>2230</v>
      </c>
    </row>
    <row r="286" spans="1:5" ht="15" customHeight="1">
      <c r="A286" s="1">
        <v>249</v>
      </c>
      <c r="B286" s="1" t="s">
        <v>1768</v>
      </c>
      <c r="C286" s="1" t="s">
        <v>1767</v>
      </c>
      <c r="D286" s="1">
        <v>1</v>
      </c>
      <c r="E286" s="1" t="s">
        <v>2231</v>
      </c>
    </row>
    <row r="287" spans="1:5" ht="15" customHeight="1">
      <c r="A287" s="1">
        <v>250</v>
      </c>
      <c r="B287" s="1" t="s">
        <v>1770</v>
      </c>
      <c r="C287" s="1" t="s">
        <v>1769</v>
      </c>
      <c r="D287" s="1">
        <v>1</v>
      </c>
      <c r="E287" s="1" t="s">
        <v>2230</v>
      </c>
    </row>
    <row r="288" spans="1:5" ht="15" customHeight="1">
      <c r="A288" s="1">
        <v>251</v>
      </c>
      <c r="B288" s="1" t="s">
        <v>1772</v>
      </c>
      <c r="C288" s="1" t="s">
        <v>1771</v>
      </c>
      <c r="D288" s="1">
        <v>1</v>
      </c>
      <c r="E288" s="1" t="s">
        <v>2230</v>
      </c>
    </row>
    <row r="289" spans="1:5" ht="15" customHeight="1">
      <c r="A289" s="1">
        <v>252</v>
      </c>
      <c r="B289" s="1" t="s">
        <v>1774</v>
      </c>
      <c r="C289" s="1" t="s">
        <v>1773</v>
      </c>
      <c r="D289" s="1">
        <v>1</v>
      </c>
      <c r="E289" s="1" t="s">
        <v>2230</v>
      </c>
    </row>
    <row r="290" spans="1:5" ht="15" customHeight="1">
      <c r="A290" s="1">
        <v>253</v>
      </c>
      <c r="B290" s="1" t="s">
        <v>1776</v>
      </c>
      <c r="C290" s="1" t="s">
        <v>1775</v>
      </c>
      <c r="D290" s="1">
        <v>1</v>
      </c>
      <c r="E290" s="1" t="s">
        <v>2231</v>
      </c>
    </row>
    <row r="291" spans="1:5" ht="15" customHeight="1">
      <c r="A291" s="1">
        <v>254</v>
      </c>
      <c r="B291" s="1" t="s">
        <v>1778</v>
      </c>
      <c r="C291" s="1" t="s">
        <v>1777</v>
      </c>
      <c r="D291" s="1">
        <v>0</v>
      </c>
      <c r="E291" s="1" t="s">
        <v>2230</v>
      </c>
    </row>
    <row r="292" spans="1:5" ht="15" customHeight="1">
      <c r="A292" s="1">
        <v>255</v>
      </c>
      <c r="B292" s="1" t="s">
        <v>1780</v>
      </c>
      <c r="C292" s="1" t="s">
        <v>1779</v>
      </c>
      <c r="D292" s="1">
        <v>0</v>
      </c>
      <c r="E292" s="1" t="s">
        <v>2230</v>
      </c>
    </row>
    <row r="293" spans="1:5" ht="15" customHeight="1">
      <c r="A293" s="1">
        <v>256</v>
      </c>
      <c r="B293" s="1" t="s">
        <v>1782</v>
      </c>
      <c r="C293" s="1" t="s">
        <v>1781</v>
      </c>
      <c r="D293" s="1">
        <v>0</v>
      </c>
      <c r="E293" s="1" t="s">
        <v>2230</v>
      </c>
    </row>
    <row r="294" spans="1:5" ht="15" customHeight="1">
      <c r="A294" s="1">
        <v>257</v>
      </c>
      <c r="B294" s="1" t="s">
        <v>1784</v>
      </c>
      <c r="C294" s="1" t="s">
        <v>1783</v>
      </c>
      <c r="D294" s="1">
        <v>0</v>
      </c>
      <c r="E294" s="1" t="s">
        <v>2230</v>
      </c>
    </row>
    <row r="295" spans="1:5" ht="15" customHeight="1">
      <c r="A295" s="1">
        <v>258</v>
      </c>
      <c r="B295" s="1" t="s">
        <v>1786</v>
      </c>
      <c r="C295" s="1" t="s">
        <v>1785</v>
      </c>
      <c r="D295" s="1">
        <v>1</v>
      </c>
      <c r="E295" s="1" t="s">
        <v>2230</v>
      </c>
    </row>
    <row r="296" spans="1:5" ht="15" customHeight="1">
      <c r="A296" s="1">
        <v>259</v>
      </c>
      <c r="B296" s="1" t="s">
        <v>1788</v>
      </c>
      <c r="C296" s="1" t="s">
        <v>1787</v>
      </c>
      <c r="D296" s="1">
        <v>0</v>
      </c>
      <c r="E296" s="1" t="s">
        <v>2230</v>
      </c>
    </row>
    <row r="297" spans="1:5" ht="15" customHeight="1">
      <c r="A297" s="1">
        <v>260</v>
      </c>
      <c r="B297" s="1" t="s">
        <v>1790</v>
      </c>
      <c r="C297" s="1" t="s">
        <v>1789</v>
      </c>
      <c r="D297" s="1">
        <v>0</v>
      </c>
      <c r="E297" s="1" t="s">
        <v>2230</v>
      </c>
    </row>
    <row r="298" spans="1:5" ht="15" customHeight="1">
      <c r="A298" s="1">
        <v>261</v>
      </c>
      <c r="B298" s="1" t="s">
        <v>1792</v>
      </c>
      <c r="C298" s="1" t="s">
        <v>1791</v>
      </c>
      <c r="D298" s="1">
        <v>1</v>
      </c>
      <c r="E298" s="1" t="s">
        <v>2230</v>
      </c>
    </row>
    <row r="299" spans="1:5" ht="15" customHeight="1">
      <c r="A299" s="1">
        <v>262</v>
      </c>
      <c r="B299" s="1" t="s">
        <v>1794</v>
      </c>
      <c r="C299" s="1" t="s">
        <v>1793</v>
      </c>
      <c r="D299" s="1">
        <v>1</v>
      </c>
      <c r="E299" s="1" t="s">
        <v>2230</v>
      </c>
    </row>
    <row r="300" spans="1:5" ht="15" customHeight="1">
      <c r="A300" s="1">
        <v>263</v>
      </c>
      <c r="B300" s="1" t="s">
        <v>1796</v>
      </c>
      <c r="C300" s="1" t="s">
        <v>1795</v>
      </c>
      <c r="D300" s="1">
        <v>1</v>
      </c>
      <c r="E300" s="1" t="s">
        <v>2230</v>
      </c>
    </row>
    <row r="301" spans="1:5" ht="15" customHeight="1">
      <c r="A301" s="1">
        <v>264</v>
      </c>
      <c r="B301" s="1" t="s">
        <v>1798</v>
      </c>
      <c r="C301" s="1" t="s">
        <v>1797</v>
      </c>
      <c r="D301" s="1">
        <v>1</v>
      </c>
      <c r="E301" s="1" t="s">
        <v>2230</v>
      </c>
    </row>
    <row r="302" spans="1:5" ht="15" customHeight="1">
      <c r="A302" s="1">
        <v>265</v>
      </c>
      <c r="B302" s="1" t="s">
        <v>1800</v>
      </c>
      <c r="C302" s="1" t="s">
        <v>1799</v>
      </c>
      <c r="D302" s="1">
        <v>1</v>
      </c>
      <c r="E302" s="1" t="s">
        <v>2230</v>
      </c>
    </row>
    <row r="303" spans="1:5" ht="15" customHeight="1">
      <c r="A303" s="1">
        <v>266</v>
      </c>
      <c r="B303" s="1" t="s">
        <v>1802</v>
      </c>
      <c r="C303" s="1" t="s">
        <v>1801</v>
      </c>
      <c r="D303" s="1">
        <v>1</v>
      </c>
      <c r="E303" s="1" t="s">
        <v>2230</v>
      </c>
    </row>
    <row r="304" spans="1:5" ht="15" customHeight="1">
      <c r="A304" s="1">
        <v>267</v>
      </c>
      <c r="B304" s="1" t="s">
        <v>1804</v>
      </c>
      <c r="C304" s="1" t="s">
        <v>1803</v>
      </c>
      <c r="D304" s="1">
        <v>0</v>
      </c>
      <c r="E304" s="1" t="s">
        <v>2230</v>
      </c>
    </row>
    <row r="305" spans="1:5" ht="15" customHeight="1">
      <c r="A305" s="1">
        <v>268</v>
      </c>
      <c r="B305" s="1" t="s">
        <v>1806</v>
      </c>
      <c r="C305" s="1" t="s">
        <v>1805</v>
      </c>
      <c r="D305" s="1">
        <v>0</v>
      </c>
      <c r="E305" s="1" t="s">
        <v>2230</v>
      </c>
    </row>
    <row r="306" spans="1:5" ht="15" customHeight="1">
      <c r="A306" s="1">
        <v>269</v>
      </c>
      <c r="B306" s="1" t="s">
        <v>1808</v>
      </c>
      <c r="C306" s="1" t="s">
        <v>1807</v>
      </c>
      <c r="D306" s="1">
        <v>1</v>
      </c>
      <c r="E306" s="1" t="s">
        <v>2230</v>
      </c>
    </row>
    <row r="307" spans="1:5" ht="15" customHeight="1">
      <c r="A307" s="1">
        <v>270</v>
      </c>
      <c r="B307" s="1" t="s">
        <v>1810</v>
      </c>
      <c r="C307" s="1" t="s">
        <v>1809</v>
      </c>
      <c r="D307" s="1">
        <v>0</v>
      </c>
      <c r="E307" s="1" t="s">
        <v>2230</v>
      </c>
    </row>
    <row r="308" spans="1:5" ht="15" customHeight="1">
      <c r="A308" s="1">
        <v>271</v>
      </c>
      <c r="B308" s="1" t="s">
        <v>1812</v>
      </c>
      <c r="C308" s="1" t="s">
        <v>1811</v>
      </c>
      <c r="D308" s="1">
        <v>1</v>
      </c>
      <c r="E308" s="1" t="s">
        <v>2231</v>
      </c>
    </row>
    <row r="309" spans="1:5" ht="15" customHeight="1">
      <c r="A309" s="1">
        <v>272</v>
      </c>
      <c r="B309" s="1" t="s">
        <v>1814</v>
      </c>
      <c r="C309" s="1" t="s">
        <v>1813</v>
      </c>
      <c r="D309" s="1">
        <v>1</v>
      </c>
      <c r="E309" s="1" t="s">
        <v>2230</v>
      </c>
    </row>
    <row r="310" spans="1:5" ht="15" customHeight="1">
      <c r="A310" s="1">
        <v>273</v>
      </c>
      <c r="B310" s="1" t="s">
        <v>1816</v>
      </c>
      <c r="C310" s="1" t="s">
        <v>1815</v>
      </c>
      <c r="D310" s="1">
        <v>1</v>
      </c>
      <c r="E310" s="1" t="s">
        <v>2230</v>
      </c>
    </row>
    <row r="311" spans="1:5" ht="15" customHeight="1">
      <c r="A311" s="1">
        <v>274</v>
      </c>
      <c r="B311" s="1" t="s">
        <v>1818</v>
      </c>
      <c r="C311" s="1" t="s">
        <v>1817</v>
      </c>
      <c r="D311" s="1">
        <v>1</v>
      </c>
      <c r="E311" s="1" t="s">
        <v>2231</v>
      </c>
    </row>
    <row r="312" spans="1:5" ht="15" customHeight="1">
      <c r="A312" s="1">
        <v>275</v>
      </c>
      <c r="B312" s="1" t="s">
        <v>1820</v>
      </c>
      <c r="C312" s="1" t="s">
        <v>1819</v>
      </c>
      <c r="D312" s="1">
        <v>1</v>
      </c>
      <c r="E312" s="1" t="s">
        <v>2230</v>
      </c>
    </row>
    <row r="313" spans="1:5" ht="15" customHeight="1">
      <c r="A313" s="1">
        <v>276</v>
      </c>
      <c r="B313" s="1" t="s">
        <v>1822</v>
      </c>
      <c r="C313" s="1" t="s">
        <v>1821</v>
      </c>
      <c r="D313" s="1">
        <v>1</v>
      </c>
      <c r="E313" s="1" t="s">
        <v>2230</v>
      </c>
    </row>
    <row r="314" spans="1:5" ht="15" customHeight="1">
      <c r="A314" s="1">
        <v>277</v>
      </c>
      <c r="B314" s="1" t="s">
        <v>1824</v>
      </c>
      <c r="C314" s="1" t="s">
        <v>1823</v>
      </c>
      <c r="D314" s="1">
        <v>1</v>
      </c>
      <c r="E314" s="1" t="s">
        <v>2230</v>
      </c>
    </row>
    <row r="315" spans="1:5" ht="15" customHeight="1">
      <c r="A315" s="1">
        <v>278</v>
      </c>
      <c r="B315" s="1" t="s">
        <v>1826</v>
      </c>
      <c r="C315" s="1" t="s">
        <v>1825</v>
      </c>
      <c r="D315" s="1">
        <v>1</v>
      </c>
      <c r="E315" s="1" t="s">
        <v>2231</v>
      </c>
    </row>
    <row r="316" spans="1:5" ht="15" customHeight="1">
      <c r="A316" s="1">
        <v>279</v>
      </c>
      <c r="B316" s="1" t="s">
        <v>1828</v>
      </c>
      <c r="C316" s="1" t="s">
        <v>1827</v>
      </c>
      <c r="D316" s="1">
        <v>0</v>
      </c>
      <c r="E316" s="1" t="s">
        <v>2230</v>
      </c>
    </row>
    <row r="317" spans="1:5" ht="15" customHeight="1">
      <c r="A317" s="1">
        <v>280</v>
      </c>
      <c r="B317" s="1" t="s">
        <v>1830</v>
      </c>
      <c r="C317" s="1" t="s">
        <v>1829</v>
      </c>
      <c r="D317" s="1">
        <v>0</v>
      </c>
      <c r="E317" s="1" t="s">
        <v>2230</v>
      </c>
    </row>
    <row r="318" spans="1:5" ht="15" customHeight="1">
      <c r="A318" s="1">
        <v>281</v>
      </c>
      <c r="B318" s="1" t="s">
        <v>1832</v>
      </c>
      <c r="C318" s="1" t="s">
        <v>1831</v>
      </c>
      <c r="D318" s="1">
        <v>1</v>
      </c>
      <c r="E318" s="1" t="s">
        <v>2231</v>
      </c>
    </row>
    <row r="319" spans="1:5" ht="15" customHeight="1">
      <c r="A319" s="1">
        <v>282</v>
      </c>
      <c r="B319" s="1" t="s">
        <v>1834</v>
      </c>
      <c r="C319" s="1" t="s">
        <v>1833</v>
      </c>
      <c r="D319" s="1">
        <v>0</v>
      </c>
      <c r="E319" s="1" t="s">
        <v>2230</v>
      </c>
    </row>
    <row r="320" spans="1:5" ht="15" customHeight="1">
      <c r="A320" s="1">
        <v>283</v>
      </c>
      <c r="B320" s="1" t="s">
        <v>1836</v>
      </c>
      <c r="C320" s="1" t="s">
        <v>1835</v>
      </c>
      <c r="D320" s="1">
        <v>0</v>
      </c>
      <c r="E320" s="1" t="s">
        <v>2230</v>
      </c>
    </row>
    <row r="321" spans="1:5" ht="15" customHeight="1">
      <c r="A321" s="1">
        <v>284</v>
      </c>
      <c r="B321" s="1" t="s">
        <v>1838</v>
      </c>
      <c r="C321" s="1" t="s">
        <v>1837</v>
      </c>
      <c r="D321" s="1">
        <v>1</v>
      </c>
      <c r="E321" s="1" t="s">
        <v>2230</v>
      </c>
    </row>
    <row r="322" spans="1:5" ht="15" customHeight="1">
      <c r="A322" s="1">
        <v>285</v>
      </c>
      <c r="B322" s="1" t="s">
        <v>1840</v>
      </c>
      <c r="C322" s="1" t="s">
        <v>1839</v>
      </c>
      <c r="D322" s="1">
        <v>1</v>
      </c>
      <c r="E322" s="1" t="s">
        <v>2230</v>
      </c>
    </row>
    <row r="323" spans="1:5" ht="15" customHeight="1">
      <c r="A323" s="1">
        <v>286</v>
      </c>
      <c r="B323" s="1" t="s">
        <v>1842</v>
      </c>
      <c r="C323" s="1" t="s">
        <v>1841</v>
      </c>
      <c r="D323" s="1">
        <v>0</v>
      </c>
      <c r="E323" s="1" t="s">
        <v>2230</v>
      </c>
    </row>
    <row r="324" spans="1:5" ht="15" customHeight="1">
      <c r="A324" s="1">
        <v>287</v>
      </c>
      <c r="B324" s="1" t="s">
        <v>1844</v>
      </c>
      <c r="C324" s="1" t="s">
        <v>1843</v>
      </c>
      <c r="D324" s="1">
        <v>1</v>
      </c>
      <c r="E324" s="1" t="s">
        <v>2230</v>
      </c>
    </row>
    <row r="325" spans="1:5" ht="15" customHeight="1">
      <c r="A325" s="1">
        <v>288</v>
      </c>
      <c r="B325" s="1" t="s">
        <v>1846</v>
      </c>
      <c r="C325" s="1" t="s">
        <v>1845</v>
      </c>
      <c r="D325" s="1">
        <v>1</v>
      </c>
      <c r="E325" s="1" t="s">
        <v>2230</v>
      </c>
    </row>
    <row r="326" spans="1:5" ht="15" customHeight="1">
      <c r="A326" s="1">
        <v>289</v>
      </c>
      <c r="B326" s="1" t="s">
        <v>1848</v>
      </c>
      <c r="C326" s="1" t="s">
        <v>1847</v>
      </c>
      <c r="D326" s="1">
        <v>1</v>
      </c>
      <c r="E326" s="1" t="s">
        <v>2230</v>
      </c>
    </row>
    <row r="327" spans="1:5" ht="15" customHeight="1">
      <c r="A327" s="1">
        <v>290</v>
      </c>
      <c r="B327" s="1" t="s">
        <v>1850</v>
      </c>
      <c r="C327" s="1" t="s">
        <v>1849</v>
      </c>
      <c r="D327" s="1">
        <v>1</v>
      </c>
      <c r="E327" s="1" t="s">
        <v>2230</v>
      </c>
    </row>
    <row r="328" spans="1:5" ht="15" customHeight="1">
      <c r="A328" s="1">
        <v>291</v>
      </c>
      <c r="B328" s="1" t="s">
        <v>1852</v>
      </c>
      <c r="C328" s="1" t="s">
        <v>1851</v>
      </c>
      <c r="D328" s="1">
        <v>1</v>
      </c>
      <c r="E328" s="1" t="s">
        <v>2230</v>
      </c>
    </row>
    <row r="329" spans="1:5" ht="15" customHeight="1">
      <c r="A329" s="1">
        <v>292</v>
      </c>
      <c r="B329" s="1" t="s">
        <v>1854</v>
      </c>
      <c r="C329" s="1" t="s">
        <v>1853</v>
      </c>
      <c r="D329" s="1">
        <v>1</v>
      </c>
      <c r="E329" s="1" t="s">
        <v>2230</v>
      </c>
    </row>
    <row r="330" spans="1:5" ht="15" customHeight="1">
      <c r="A330" s="1">
        <v>293</v>
      </c>
      <c r="B330" s="1" t="s">
        <v>1856</v>
      </c>
      <c r="C330" s="1" t="s">
        <v>1855</v>
      </c>
      <c r="D330" s="1">
        <v>1</v>
      </c>
      <c r="E330" s="1" t="s">
        <v>2230</v>
      </c>
    </row>
    <row r="331" spans="1:5" ht="15" customHeight="1">
      <c r="A331" s="1">
        <v>294</v>
      </c>
      <c r="B331" s="1" t="s">
        <v>1858</v>
      </c>
      <c r="C331" s="1" t="s">
        <v>1857</v>
      </c>
      <c r="D331" s="1">
        <v>0</v>
      </c>
      <c r="E331" s="1" t="s">
        <v>2230</v>
      </c>
    </row>
    <row r="332" spans="1:5" ht="15" customHeight="1">
      <c r="A332" s="1">
        <v>295</v>
      </c>
      <c r="B332" s="1" t="s">
        <v>1860</v>
      </c>
      <c r="C332" s="1" t="s">
        <v>1859</v>
      </c>
      <c r="D332" s="1">
        <v>1</v>
      </c>
      <c r="E332" s="1" t="s">
        <v>2230</v>
      </c>
    </row>
    <row r="333" spans="1:5" ht="15" customHeight="1">
      <c r="A333" s="1">
        <v>296</v>
      </c>
      <c r="B333" s="1" t="s">
        <v>1862</v>
      </c>
      <c r="C333" s="1" t="s">
        <v>1861</v>
      </c>
      <c r="D333" s="1">
        <v>1</v>
      </c>
      <c r="E333" s="1" t="s">
        <v>2230</v>
      </c>
    </row>
    <row r="334" spans="1:5" ht="15" customHeight="1">
      <c r="A334" s="1">
        <v>297</v>
      </c>
      <c r="B334" s="1" t="s">
        <v>1864</v>
      </c>
      <c r="C334" s="1" t="s">
        <v>1863</v>
      </c>
      <c r="D334" s="1">
        <v>0</v>
      </c>
      <c r="E334" s="1" t="s">
        <v>2230</v>
      </c>
    </row>
    <row r="335" spans="1:5" ht="15" customHeight="1">
      <c r="A335" s="1">
        <v>298</v>
      </c>
      <c r="B335" s="1" t="s">
        <v>1866</v>
      </c>
      <c r="C335" s="1" t="s">
        <v>1865</v>
      </c>
      <c r="D335" s="1">
        <v>1</v>
      </c>
      <c r="E335" s="1" t="s">
        <v>2230</v>
      </c>
    </row>
    <row r="336" spans="1:5" ht="15" customHeight="1">
      <c r="A336" s="1">
        <v>299</v>
      </c>
      <c r="B336" s="1" t="s">
        <v>1868</v>
      </c>
      <c r="C336" s="1" t="s">
        <v>1867</v>
      </c>
      <c r="D336" s="1">
        <v>0</v>
      </c>
      <c r="E336" s="1" t="s">
        <v>2230</v>
      </c>
    </row>
    <row r="337" spans="1:5" ht="15" customHeight="1">
      <c r="A337" s="1">
        <v>300</v>
      </c>
      <c r="B337" s="1" t="s">
        <v>1870</v>
      </c>
      <c r="C337" s="1" t="s">
        <v>1869</v>
      </c>
      <c r="D337" s="1">
        <v>1</v>
      </c>
      <c r="E337" s="1" t="s">
        <v>2230</v>
      </c>
    </row>
    <row r="338" spans="1:5" ht="15" customHeight="1">
      <c r="A338" s="1">
        <v>301</v>
      </c>
      <c r="B338" s="1" t="s">
        <v>1872</v>
      </c>
      <c r="C338" s="1" t="s">
        <v>1871</v>
      </c>
      <c r="D338" s="1">
        <v>1</v>
      </c>
      <c r="E338" s="1" t="s">
        <v>2230</v>
      </c>
    </row>
    <row r="339" spans="1:5" ht="15" customHeight="1">
      <c r="A339" s="1">
        <v>302</v>
      </c>
      <c r="B339" s="1" t="s">
        <v>1874</v>
      </c>
      <c r="C339" s="1" t="s">
        <v>1873</v>
      </c>
      <c r="D339" s="1">
        <v>0</v>
      </c>
      <c r="E339" s="1" t="s">
        <v>2231</v>
      </c>
    </row>
    <row r="340" spans="1:5" ht="15" customHeight="1">
      <c r="A340" s="1">
        <v>303</v>
      </c>
      <c r="B340" s="1" t="s">
        <v>1876</v>
      </c>
      <c r="C340" s="1" t="s">
        <v>1875</v>
      </c>
      <c r="D340" s="1">
        <v>0</v>
      </c>
      <c r="E340" s="1" t="s">
        <v>2230</v>
      </c>
    </row>
    <row r="341" spans="1:5" ht="15" customHeight="1">
      <c r="A341" s="1">
        <v>304</v>
      </c>
      <c r="B341" s="1" t="s">
        <v>1878</v>
      </c>
      <c r="C341" s="1" t="s">
        <v>1877</v>
      </c>
      <c r="D341" s="1">
        <v>1</v>
      </c>
      <c r="E341" s="1" t="s">
        <v>2230</v>
      </c>
    </row>
    <row r="342" spans="1:5" ht="15" customHeight="1">
      <c r="A342" s="1">
        <v>305</v>
      </c>
      <c r="B342" s="1" t="s">
        <v>1879</v>
      </c>
      <c r="C342" s="1" t="s">
        <v>1264</v>
      </c>
      <c r="D342" s="1">
        <v>1</v>
      </c>
      <c r="E342" s="1" t="s">
        <v>2230</v>
      </c>
    </row>
    <row r="343" spans="1:5" ht="15" customHeight="1">
      <c r="A343" s="1">
        <v>306</v>
      </c>
      <c r="B343" s="1" t="s">
        <v>1881</v>
      </c>
      <c r="C343" s="1" t="s">
        <v>1880</v>
      </c>
      <c r="D343" s="1">
        <v>1</v>
      </c>
      <c r="E343" s="1" t="s">
        <v>2230</v>
      </c>
    </row>
    <row r="344" spans="1:5" ht="15" customHeight="1">
      <c r="A344" s="1">
        <v>307</v>
      </c>
      <c r="B344" s="1" t="s">
        <v>1883</v>
      </c>
      <c r="C344" s="1" t="s">
        <v>1882</v>
      </c>
      <c r="D344" s="1">
        <v>1</v>
      </c>
      <c r="E344" s="1" t="s">
        <v>2230</v>
      </c>
    </row>
    <row r="345" spans="1:5" ht="15" customHeight="1">
      <c r="A345" s="1">
        <v>308</v>
      </c>
      <c r="B345" s="1" t="s">
        <v>1885</v>
      </c>
      <c r="C345" s="1" t="s">
        <v>1884</v>
      </c>
      <c r="D345" s="1">
        <v>1</v>
      </c>
      <c r="E345" s="1" t="s">
        <v>2231</v>
      </c>
    </row>
    <row r="346" spans="1:5" ht="15" customHeight="1">
      <c r="A346" s="1">
        <v>309</v>
      </c>
      <c r="B346" s="1" t="s">
        <v>1887</v>
      </c>
      <c r="C346" s="1" t="s">
        <v>1886</v>
      </c>
      <c r="D346" s="1">
        <v>1</v>
      </c>
      <c r="E346" s="1" t="s">
        <v>2230</v>
      </c>
    </row>
    <row r="347" spans="1:5" ht="15" customHeight="1">
      <c r="A347" s="1">
        <v>310</v>
      </c>
      <c r="B347" s="1" t="s">
        <v>1889</v>
      </c>
      <c r="C347" s="1" t="s">
        <v>1888</v>
      </c>
      <c r="D347" s="1">
        <v>1</v>
      </c>
      <c r="E347" s="1" t="s">
        <v>2230</v>
      </c>
    </row>
    <row r="348" spans="1:5" ht="15" customHeight="1">
      <c r="A348" s="1">
        <v>311</v>
      </c>
      <c r="B348" s="1" t="s">
        <v>1891</v>
      </c>
      <c r="C348" s="1" t="s">
        <v>1890</v>
      </c>
      <c r="D348" s="1">
        <v>0</v>
      </c>
      <c r="E348" s="1" t="s">
        <v>2230</v>
      </c>
    </row>
    <row r="349" spans="1:5" ht="15" customHeight="1">
      <c r="A349" s="1">
        <v>312</v>
      </c>
      <c r="B349" s="1" t="s">
        <v>1893</v>
      </c>
      <c r="C349" s="1" t="s">
        <v>1892</v>
      </c>
      <c r="D349" s="1">
        <v>0</v>
      </c>
      <c r="E349" s="1" t="s">
        <v>2230</v>
      </c>
    </row>
    <row r="350" spans="1:5" ht="15" customHeight="1">
      <c r="A350" s="1">
        <v>313</v>
      </c>
      <c r="B350" s="1" t="s">
        <v>1895</v>
      </c>
      <c r="C350" s="1" t="s">
        <v>1894</v>
      </c>
      <c r="D350" s="1">
        <v>0</v>
      </c>
      <c r="E350" s="1" t="s">
        <v>2230</v>
      </c>
    </row>
    <row r="351" spans="1:5" ht="15" customHeight="1">
      <c r="A351" s="1">
        <v>314</v>
      </c>
      <c r="B351" s="1" t="s">
        <v>1897</v>
      </c>
      <c r="C351" s="1" t="s">
        <v>1896</v>
      </c>
      <c r="D351" s="1">
        <v>1</v>
      </c>
      <c r="E351" s="1" t="s">
        <v>2231</v>
      </c>
    </row>
    <row r="352" spans="1:5" ht="15" customHeight="1">
      <c r="A352" s="1">
        <v>315</v>
      </c>
      <c r="B352" s="1" t="s">
        <v>1899</v>
      </c>
      <c r="C352" s="1" t="s">
        <v>1898</v>
      </c>
      <c r="D352" s="1">
        <v>1</v>
      </c>
      <c r="E352" s="1" t="s">
        <v>2231</v>
      </c>
    </row>
    <row r="353" spans="1:5" ht="15" customHeight="1">
      <c r="A353" s="1">
        <v>316</v>
      </c>
      <c r="B353" s="1" t="s">
        <v>1901</v>
      </c>
      <c r="C353" s="1" t="s">
        <v>1900</v>
      </c>
      <c r="D353" s="1">
        <v>1</v>
      </c>
      <c r="E353" s="1" t="s">
        <v>2230</v>
      </c>
    </row>
    <row r="354" spans="1:5" ht="15" customHeight="1">
      <c r="A354" s="1">
        <v>317</v>
      </c>
      <c r="B354" s="1" t="s">
        <v>1903</v>
      </c>
      <c r="C354" s="1" t="s">
        <v>1902</v>
      </c>
      <c r="D354" s="1">
        <v>1</v>
      </c>
      <c r="E354" s="1" t="s">
        <v>2231</v>
      </c>
    </row>
    <row r="355" spans="1:5" ht="15" customHeight="1">
      <c r="A355" s="1">
        <v>318</v>
      </c>
      <c r="B355" s="1" t="s">
        <v>1905</v>
      </c>
      <c r="C355" s="1" t="s">
        <v>1904</v>
      </c>
      <c r="D355" s="1">
        <v>1</v>
      </c>
      <c r="E355" s="1" t="s">
        <v>2230</v>
      </c>
    </row>
    <row r="356" spans="1:5" ht="15" customHeight="1">
      <c r="A356" s="1">
        <v>319</v>
      </c>
      <c r="B356" s="1" t="s">
        <v>1907</v>
      </c>
      <c r="C356" s="1" t="s">
        <v>1906</v>
      </c>
      <c r="D356" s="1">
        <v>0</v>
      </c>
      <c r="E356" s="1" t="s">
        <v>2230</v>
      </c>
    </row>
    <row r="357" spans="1:5" ht="15" customHeight="1">
      <c r="A357" s="1">
        <v>320</v>
      </c>
      <c r="B357" s="1" t="s">
        <v>1909</v>
      </c>
      <c r="C357" s="1" t="s">
        <v>1908</v>
      </c>
      <c r="D357" s="1">
        <v>0</v>
      </c>
      <c r="E357" s="1" t="s">
        <v>2230</v>
      </c>
    </row>
    <row r="358" spans="1:5" ht="15" customHeight="1">
      <c r="A358" s="1">
        <v>321</v>
      </c>
      <c r="B358" s="1" t="s">
        <v>1911</v>
      </c>
      <c r="C358" s="1" t="s">
        <v>1910</v>
      </c>
      <c r="D358" s="1">
        <v>1</v>
      </c>
      <c r="E358" s="1" t="s">
        <v>2230</v>
      </c>
    </row>
    <row r="359" spans="1:5" ht="15" customHeight="1">
      <c r="A359" s="1">
        <v>322</v>
      </c>
      <c r="B359" s="1" t="s">
        <v>1913</v>
      </c>
      <c r="C359" s="1" t="s">
        <v>1912</v>
      </c>
      <c r="D359" s="1">
        <v>1</v>
      </c>
      <c r="E359" s="1" t="s">
        <v>2231</v>
      </c>
    </row>
    <row r="360" spans="1:5" ht="15" customHeight="1">
      <c r="A360" s="1">
        <v>323</v>
      </c>
      <c r="B360" s="1" t="s">
        <v>1915</v>
      </c>
      <c r="C360" s="1" t="s">
        <v>1914</v>
      </c>
      <c r="D360" s="1">
        <v>1</v>
      </c>
      <c r="E360" s="1" t="s">
        <v>2230</v>
      </c>
    </row>
    <row r="361" spans="1:5" ht="15" customHeight="1">
      <c r="A361" s="1">
        <v>324</v>
      </c>
      <c r="B361" s="1" t="s">
        <v>1917</v>
      </c>
      <c r="C361" s="1" t="s">
        <v>1916</v>
      </c>
      <c r="D361" s="1">
        <v>0</v>
      </c>
      <c r="E361" s="1" t="s">
        <v>2230</v>
      </c>
    </row>
    <row r="362" spans="1:5" ht="15" customHeight="1">
      <c r="A362" s="1">
        <v>325</v>
      </c>
      <c r="B362" s="1" t="s">
        <v>1919</v>
      </c>
      <c r="C362" s="1" t="s">
        <v>1918</v>
      </c>
      <c r="D362" s="1">
        <v>1</v>
      </c>
      <c r="E362" s="1" t="s">
        <v>2231</v>
      </c>
    </row>
    <row r="363" spans="1:5" ht="15" customHeight="1">
      <c r="A363" s="1">
        <v>326</v>
      </c>
      <c r="B363" s="1" t="s">
        <v>1921</v>
      </c>
      <c r="C363" s="1" t="s">
        <v>1920</v>
      </c>
      <c r="D363" s="1">
        <v>1</v>
      </c>
      <c r="E363" s="1" t="s">
        <v>2230</v>
      </c>
    </row>
    <row r="364" spans="1:5" ht="15" customHeight="1">
      <c r="A364" s="1">
        <v>327</v>
      </c>
      <c r="B364" s="1" t="s">
        <v>1923</v>
      </c>
      <c r="C364" s="1" t="s">
        <v>1922</v>
      </c>
      <c r="D364" s="1">
        <v>1</v>
      </c>
      <c r="E364" s="1" t="s">
        <v>2230</v>
      </c>
    </row>
    <row r="365" spans="1:5" ht="15" customHeight="1">
      <c r="A365" s="1">
        <v>328</v>
      </c>
      <c r="B365" s="1" t="s">
        <v>1925</v>
      </c>
      <c r="C365" s="1" t="s">
        <v>1924</v>
      </c>
      <c r="D365" s="1">
        <v>0</v>
      </c>
      <c r="E365" s="1" t="s">
        <v>2230</v>
      </c>
    </row>
    <row r="366" spans="1:5" ht="15" customHeight="1">
      <c r="A366" s="1">
        <v>329</v>
      </c>
      <c r="B366" s="1" t="s">
        <v>1927</v>
      </c>
      <c r="C366" s="1" t="s">
        <v>1926</v>
      </c>
      <c r="D366" s="1">
        <v>0</v>
      </c>
      <c r="E366" s="1" t="s">
        <v>2230</v>
      </c>
    </row>
    <row r="367" spans="1:5" ht="15" customHeight="1">
      <c r="A367" s="1">
        <v>330</v>
      </c>
      <c r="B367" s="1" t="s">
        <v>1929</v>
      </c>
      <c r="C367" s="1" t="s">
        <v>1928</v>
      </c>
      <c r="D367" s="1">
        <v>1</v>
      </c>
      <c r="E367" s="1" t="s">
        <v>2231</v>
      </c>
    </row>
    <row r="368" spans="1:5" ht="15" customHeight="1">
      <c r="A368" s="1">
        <v>331</v>
      </c>
      <c r="B368" s="1" t="s">
        <v>1931</v>
      </c>
      <c r="C368" s="1" t="s">
        <v>1930</v>
      </c>
      <c r="D368" s="1">
        <v>1</v>
      </c>
      <c r="E368" s="1" t="s">
        <v>2230</v>
      </c>
    </row>
    <row r="369" spans="1:5" ht="15" customHeight="1">
      <c r="A369" s="1">
        <v>332</v>
      </c>
      <c r="B369" s="1" t="s">
        <v>1933</v>
      </c>
      <c r="C369" s="1" t="s">
        <v>1932</v>
      </c>
      <c r="D369" s="1">
        <v>1</v>
      </c>
      <c r="E369" s="1" t="s">
        <v>2231</v>
      </c>
    </row>
    <row r="370" spans="1:5" ht="15" customHeight="1">
      <c r="A370" s="1">
        <v>333</v>
      </c>
      <c r="B370" s="1" t="s">
        <v>1935</v>
      </c>
      <c r="C370" s="1" t="s">
        <v>1934</v>
      </c>
      <c r="D370" s="1">
        <v>0</v>
      </c>
      <c r="E370" s="1" t="s">
        <v>2230</v>
      </c>
    </row>
    <row r="371" spans="1:5" ht="15" customHeight="1">
      <c r="A371" s="1">
        <v>334</v>
      </c>
      <c r="B371" s="1" t="s">
        <v>1937</v>
      </c>
      <c r="C371" s="1" t="s">
        <v>1936</v>
      </c>
      <c r="D371" s="1">
        <v>0</v>
      </c>
      <c r="E371" s="1" t="s">
        <v>2230</v>
      </c>
    </row>
    <row r="372" spans="1:5" ht="15" customHeight="1">
      <c r="A372" s="1">
        <v>335</v>
      </c>
      <c r="B372" s="1" t="s">
        <v>1939</v>
      </c>
      <c r="C372" s="1" t="s">
        <v>1938</v>
      </c>
      <c r="D372" s="1">
        <v>1</v>
      </c>
      <c r="E372" s="1" t="s">
        <v>2230</v>
      </c>
    </row>
    <row r="373" spans="1:5" ht="15" customHeight="1">
      <c r="A373" s="1">
        <v>336</v>
      </c>
      <c r="B373" s="1" t="s">
        <v>1941</v>
      </c>
      <c r="C373" s="1" t="s">
        <v>1940</v>
      </c>
      <c r="D373" s="1">
        <v>1</v>
      </c>
      <c r="E373" s="1" t="s">
        <v>2231</v>
      </c>
    </row>
    <row r="374" spans="1:5" ht="15" customHeight="1">
      <c r="A374" s="1">
        <v>337</v>
      </c>
      <c r="B374" s="1" t="s">
        <v>1943</v>
      </c>
      <c r="C374" s="1" t="s">
        <v>1942</v>
      </c>
      <c r="D374" s="1">
        <v>1</v>
      </c>
      <c r="E374" s="1" t="s">
        <v>2230</v>
      </c>
    </row>
    <row r="375" spans="1:5" ht="15" customHeight="1">
      <c r="A375" s="1">
        <v>338</v>
      </c>
      <c r="B375" s="1" t="s">
        <v>1945</v>
      </c>
      <c r="C375" s="1" t="s">
        <v>1944</v>
      </c>
      <c r="D375" s="1">
        <v>0</v>
      </c>
      <c r="E375" s="1" t="s">
        <v>2230</v>
      </c>
    </row>
    <row r="376" spans="1:5" ht="15" customHeight="1">
      <c r="A376" s="1">
        <v>339</v>
      </c>
      <c r="B376" s="1" t="s">
        <v>1947</v>
      </c>
      <c r="C376" s="1" t="s">
        <v>1946</v>
      </c>
      <c r="D376" s="1">
        <v>0</v>
      </c>
      <c r="E376" s="1" t="s">
        <v>2230</v>
      </c>
    </row>
    <row r="377" spans="1:5" ht="15" customHeight="1">
      <c r="A377" s="1">
        <v>340</v>
      </c>
      <c r="B377" s="1" t="s">
        <v>1949</v>
      </c>
      <c r="C377" s="1" t="s">
        <v>1948</v>
      </c>
      <c r="D377" s="1">
        <v>1</v>
      </c>
      <c r="E377" s="1" t="s">
        <v>2230</v>
      </c>
    </row>
    <row r="378" spans="1:5" ht="15" customHeight="1">
      <c r="A378" s="1">
        <v>341</v>
      </c>
      <c r="B378" s="1" t="s">
        <v>1950</v>
      </c>
      <c r="C378" s="1" t="s">
        <v>2236</v>
      </c>
      <c r="D378" s="1">
        <v>0</v>
      </c>
      <c r="E378" s="1" t="s">
        <v>2230</v>
      </c>
    </row>
    <row r="379" spans="1:5" ht="15" customHeight="1">
      <c r="A379" s="1">
        <v>342</v>
      </c>
      <c r="B379" s="1" t="s">
        <v>1952</v>
      </c>
      <c r="C379" s="1" t="s">
        <v>1951</v>
      </c>
      <c r="D379" s="1">
        <v>1</v>
      </c>
      <c r="E379" s="1" t="s">
        <v>2230</v>
      </c>
    </row>
    <row r="380" spans="1:5" ht="15" customHeight="1">
      <c r="A380" s="1">
        <v>343</v>
      </c>
      <c r="B380" s="1" t="s">
        <v>1954</v>
      </c>
      <c r="C380" s="1" t="s">
        <v>1953</v>
      </c>
      <c r="D380" s="1">
        <v>1</v>
      </c>
      <c r="E380" s="1" t="s">
        <v>2230</v>
      </c>
    </row>
    <row r="381" spans="1:5" ht="15" customHeight="1">
      <c r="A381" s="1">
        <v>344</v>
      </c>
      <c r="B381" s="1" t="s">
        <v>1956</v>
      </c>
      <c r="C381" s="1" t="s">
        <v>1955</v>
      </c>
      <c r="D381" s="1">
        <v>1</v>
      </c>
      <c r="E381" s="1" t="s">
        <v>2230</v>
      </c>
    </row>
    <row r="382" spans="1:5" ht="15" customHeight="1">
      <c r="A382" s="1">
        <v>345</v>
      </c>
      <c r="B382" s="1" t="s">
        <v>1958</v>
      </c>
      <c r="C382" s="1" t="s">
        <v>1957</v>
      </c>
      <c r="D382" s="1">
        <v>0</v>
      </c>
      <c r="E382" s="1" t="s">
        <v>2230</v>
      </c>
    </row>
    <row r="383" spans="1:5" ht="15" customHeight="1">
      <c r="A383" s="1">
        <v>346</v>
      </c>
      <c r="B383" s="1" t="s">
        <v>1960</v>
      </c>
      <c r="C383" s="1" t="s">
        <v>1959</v>
      </c>
      <c r="D383" s="1">
        <v>1</v>
      </c>
      <c r="E383" s="1" t="s">
        <v>2230</v>
      </c>
    </row>
    <row r="384" spans="1:5" ht="15" customHeight="1">
      <c r="A384" s="1">
        <v>347</v>
      </c>
      <c r="B384" s="1" t="s">
        <v>1962</v>
      </c>
      <c r="C384" s="1" t="s">
        <v>1961</v>
      </c>
      <c r="D384" s="1">
        <v>1</v>
      </c>
      <c r="E384" s="1" t="s">
        <v>2230</v>
      </c>
    </row>
    <row r="385" spans="1:5" ht="15" customHeight="1">
      <c r="A385" s="1">
        <v>348</v>
      </c>
      <c r="B385" s="1" t="s">
        <v>1963</v>
      </c>
      <c r="C385" s="1" t="s">
        <v>2237</v>
      </c>
      <c r="D385" s="1">
        <v>1</v>
      </c>
      <c r="E385" s="1" t="s">
        <v>2231</v>
      </c>
    </row>
    <row r="386" spans="1:5" ht="15" customHeight="1">
      <c r="A386" s="1">
        <v>349</v>
      </c>
      <c r="B386" s="1" t="s">
        <v>1965</v>
      </c>
      <c r="C386" s="1" t="s">
        <v>1964</v>
      </c>
      <c r="D386" s="1">
        <v>1</v>
      </c>
      <c r="E386" s="1" t="s">
        <v>2231</v>
      </c>
    </row>
    <row r="387" spans="1:5" ht="15" customHeight="1">
      <c r="A387" s="1">
        <v>350</v>
      </c>
      <c r="B387" s="1" t="s">
        <v>1967</v>
      </c>
      <c r="C387" s="1" t="s">
        <v>1966</v>
      </c>
      <c r="D387" s="1">
        <v>1</v>
      </c>
      <c r="E387" s="1" t="s">
        <v>2230</v>
      </c>
    </row>
    <row r="388" spans="1:5" ht="15" customHeight="1">
      <c r="A388" s="1">
        <v>351</v>
      </c>
      <c r="B388" s="1" t="s">
        <v>1969</v>
      </c>
      <c r="C388" s="1" t="s">
        <v>1968</v>
      </c>
      <c r="D388" s="1">
        <v>0</v>
      </c>
      <c r="E388" s="1" t="s">
        <v>2230</v>
      </c>
    </row>
    <row r="389" spans="1:5" ht="15" customHeight="1">
      <c r="A389" s="1">
        <v>352</v>
      </c>
      <c r="B389" s="1" t="s">
        <v>1971</v>
      </c>
      <c r="C389" s="90">
        <v>352</v>
      </c>
      <c r="D389" s="1">
        <v>0</v>
      </c>
      <c r="E389" s="1" t="s">
        <v>2231</v>
      </c>
    </row>
    <row r="390" spans="1:5" ht="15" customHeight="1">
      <c r="A390" s="1">
        <v>406</v>
      </c>
      <c r="B390" s="1" t="s">
        <v>1973</v>
      </c>
      <c r="C390" s="1" t="s">
        <v>1972</v>
      </c>
      <c r="D390" s="1">
        <v>1</v>
      </c>
      <c r="E390"/>
    </row>
    <row r="391" spans="1:5" ht="15" customHeight="1">
      <c r="A391" s="1">
        <v>600</v>
      </c>
      <c r="B391" s="1" t="s">
        <v>1975</v>
      </c>
      <c r="C391" s="1" t="s">
        <v>1974</v>
      </c>
      <c r="D391" s="1">
        <v>1</v>
      </c>
      <c r="E391"/>
    </row>
    <row r="392" spans="1:5" ht="15" customHeight="1">
      <c r="A392" s="1">
        <v>603</v>
      </c>
      <c r="B392" s="1" t="s">
        <v>1977</v>
      </c>
      <c r="C392" s="1" t="s">
        <v>1976</v>
      </c>
      <c r="D392" s="1">
        <v>1</v>
      </c>
      <c r="E392"/>
    </row>
    <row r="393" spans="1:5" ht="15" customHeight="1">
      <c r="A393" s="1">
        <v>605</v>
      </c>
      <c r="B393" s="1" t="s">
        <v>1979</v>
      </c>
      <c r="C393" s="1" t="s">
        <v>1978</v>
      </c>
      <c r="D393" s="1">
        <v>1</v>
      </c>
      <c r="E393"/>
    </row>
    <row r="394" spans="1:5" ht="15" customHeight="1">
      <c r="A394" s="1">
        <v>610</v>
      </c>
      <c r="B394" s="1" t="s">
        <v>1981</v>
      </c>
      <c r="C394" s="1" t="s">
        <v>1980</v>
      </c>
      <c r="D394" s="1">
        <v>1</v>
      </c>
      <c r="E394"/>
    </row>
    <row r="395" spans="1:5" ht="15" customHeight="1">
      <c r="A395" s="1">
        <v>615</v>
      </c>
      <c r="B395" s="1" t="s">
        <v>1982</v>
      </c>
      <c r="C395" s="1" t="s">
        <v>2238</v>
      </c>
      <c r="D395" s="1">
        <v>1</v>
      </c>
      <c r="E395"/>
    </row>
    <row r="396" spans="1:5" ht="15" customHeight="1">
      <c r="A396" s="1">
        <v>616</v>
      </c>
      <c r="B396" s="1" t="s">
        <v>1984</v>
      </c>
      <c r="C396" s="90">
        <v>616</v>
      </c>
      <c r="D396" s="1">
        <v>1</v>
      </c>
      <c r="E396"/>
    </row>
    <row r="397" spans="1:5" ht="15" customHeight="1">
      <c r="A397" s="1">
        <v>618</v>
      </c>
      <c r="B397" s="1" t="s">
        <v>1986</v>
      </c>
      <c r="C397" s="1" t="s">
        <v>1985</v>
      </c>
      <c r="D397" s="1">
        <v>1</v>
      </c>
      <c r="E397"/>
    </row>
    <row r="398" spans="1:5" ht="15" customHeight="1">
      <c r="A398" s="1">
        <v>620</v>
      </c>
      <c r="B398" s="1" t="s">
        <v>1988</v>
      </c>
      <c r="C398" s="1" t="s">
        <v>1987</v>
      </c>
      <c r="D398" s="1">
        <v>1</v>
      </c>
      <c r="E398"/>
    </row>
    <row r="399" spans="1:5" ht="15" customHeight="1">
      <c r="A399" s="1">
        <v>622</v>
      </c>
      <c r="B399" s="1" t="s">
        <v>1990</v>
      </c>
      <c r="C399" s="1" t="s">
        <v>1989</v>
      </c>
      <c r="D399" s="1">
        <v>1</v>
      </c>
      <c r="E399"/>
    </row>
    <row r="400" spans="1:5" ht="15" customHeight="1">
      <c r="A400" s="1">
        <v>625</v>
      </c>
      <c r="B400" s="1" t="s">
        <v>1992</v>
      </c>
      <c r="C400" s="1" t="s">
        <v>1991</v>
      </c>
      <c r="D400" s="1">
        <v>1</v>
      </c>
      <c r="E400"/>
    </row>
    <row r="401" spans="1:5" ht="15" customHeight="1">
      <c r="A401" s="1">
        <v>632</v>
      </c>
      <c r="B401" s="1" t="s">
        <v>1994</v>
      </c>
      <c r="C401" s="1" t="s">
        <v>1993</v>
      </c>
      <c r="D401" s="1">
        <v>1</v>
      </c>
      <c r="E401"/>
    </row>
    <row r="402" spans="1:5" ht="15" customHeight="1">
      <c r="A402" s="1">
        <v>635</v>
      </c>
      <c r="B402" s="1" t="s">
        <v>1996</v>
      </c>
      <c r="C402" s="1" t="s">
        <v>1995</v>
      </c>
      <c r="D402" s="1">
        <v>1</v>
      </c>
      <c r="E402"/>
    </row>
    <row r="403" spans="1:5" ht="15" customHeight="1">
      <c r="A403" s="1">
        <v>640</v>
      </c>
      <c r="B403" s="1" t="s">
        <v>1998</v>
      </c>
      <c r="C403" s="1" t="s">
        <v>1997</v>
      </c>
      <c r="D403" s="1">
        <v>1</v>
      </c>
      <c r="E403"/>
    </row>
    <row r="404" spans="1:5" ht="15" customHeight="1">
      <c r="A404" s="1">
        <v>645</v>
      </c>
      <c r="B404" s="1" t="s">
        <v>2000</v>
      </c>
      <c r="C404" s="1" t="s">
        <v>1999</v>
      </c>
      <c r="D404" s="1">
        <v>1</v>
      </c>
      <c r="E404"/>
    </row>
    <row r="405" spans="1:5" ht="15" customHeight="1">
      <c r="A405" s="1">
        <v>650</v>
      </c>
      <c r="B405" s="1" t="s">
        <v>2002</v>
      </c>
      <c r="C405" s="1" t="s">
        <v>2001</v>
      </c>
      <c r="D405" s="1">
        <v>1</v>
      </c>
      <c r="E405"/>
    </row>
    <row r="406" spans="1:5" ht="15" customHeight="1">
      <c r="A406" s="1">
        <v>655</v>
      </c>
      <c r="B406" s="1" t="s">
        <v>2004</v>
      </c>
      <c r="C406" s="1" t="s">
        <v>2003</v>
      </c>
      <c r="D406" s="1">
        <v>1</v>
      </c>
      <c r="E406"/>
    </row>
    <row r="407" spans="1:5" ht="15" customHeight="1">
      <c r="A407" s="1">
        <v>658</v>
      </c>
      <c r="B407" s="1" t="s">
        <v>2006</v>
      </c>
      <c r="C407" s="1" t="s">
        <v>2005</v>
      </c>
      <c r="D407" s="1">
        <v>1</v>
      </c>
      <c r="E407"/>
    </row>
    <row r="408" spans="1:5" ht="15" customHeight="1">
      <c r="A408" s="1">
        <v>660</v>
      </c>
      <c r="B408" s="1" t="s">
        <v>2008</v>
      </c>
      <c r="C408" s="1" t="s">
        <v>2007</v>
      </c>
      <c r="D408" s="1">
        <v>1</v>
      </c>
      <c r="E408"/>
    </row>
    <row r="409" spans="1:5" ht="15" customHeight="1">
      <c r="A409" s="1">
        <v>662</v>
      </c>
      <c r="B409" s="1" t="s">
        <v>2010</v>
      </c>
      <c r="C409" s="1" t="s">
        <v>2009</v>
      </c>
      <c r="D409" s="1">
        <v>1</v>
      </c>
      <c r="E409"/>
    </row>
    <row r="410" spans="1:5" ht="15" customHeight="1">
      <c r="A410" s="1">
        <v>665</v>
      </c>
      <c r="B410" s="1" t="s">
        <v>2012</v>
      </c>
      <c r="C410" s="1" t="s">
        <v>2011</v>
      </c>
      <c r="D410" s="1">
        <v>1</v>
      </c>
      <c r="E410"/>
    </row>
    <row r="411" spans="1:5" ht="15" customHeight="1">
      <c r="A411" s="1">
        <v>670</v>
      </c>
      <c r="B411" s="1" t="s">
        <v>2014</v>
      </c>
      <c r="C411" s="1" t="s">
        <v>2013</v>
      </c>
      <c r="D411" s="1">
        <v>1</v>
      </c>
      <c r="E411"/>
    </row>
    <row r="412" spans="1:5" ht="15" customHeight="1">
      <c r="A412" s="1">
        <v>672</v>
      </c>
      <c r="B412" s="1" t="s">
        <v>2016</v>
      </c>
      <c r="C412" s="1" t="s">
        <v>2015</v>
      </c>
      <c r="D412" s="1">
        <v>1</v>
      </c>
      <c r="E412"/>
    </row>
    <row r="413" spans="1:5" ht="15" customHeight="1">
      <c r="A413" s="1">
        <v>673</v>
      </c>
      <c r="B413" s="1" t="s">
        <v>2018</v>
      </c>
      <c r="C413" s="1" t="s">
        <v>2017</v>
      </c>
      <c r="D413" s="1">
        <v>1</v>
      </c>
      <c r="E413"/>
    </row>
    <row r="414" spans="1:5" ht="15" customHeight="1">
      <c r="A414" s="1">
        <v>674</v>
      </c>
      <c r="B414" s="1" t="s">
        <v>2020</v>
      </c>
      <c r="C414" s="1" t="s">
        <v>2019</v>
      </c>
      <c r="D414" s="1">
        <v>1</v>
      </c>
      <c r="E414"/>
    </row>
    <row r="415" spans="1:5" ht="15" customHeight="1">
      <c r="A415" s="1">
        <v>675</v>
      </c>
      <c r="B415" s="1" t="s">
        <v>2021</v>
      </c>
      <c r="C415" s="1" t="s">
        <v>2239</v>
      </c>
      <c r="D415" s="1">
        <v>1</v>
      </c>
      <c r="E415"/>
    </row>
    <row r="416" spans="1:5" ht="15" customHeight="1">
      <c r="A416" s="1">
        <v>680</v>
      </c>
      <c r="B416" s="1" t="s">
        <v>2023</v>
      </c>
      <c r="C416" s="1" t="s">
        <v>2022</v>
      </c>
      <c r="D416" s="1">
        <v>1</v>
      </c>
      <c r="E416"/>
    </row>
    <row r="417" spans="1:5" ht="15" customHeight="1">
      <c r="A417" s="1">
        <v>683</v>
      </c>
      <c r="B417" s="1" t="s">
        <v>2025</v>
      </c>
      <c r="C417" s="1" t="s">
        <v>2024</v>
      </c>
      <c r="D417" s="1">
        <v>1</v>
      </c>
      <c r="E417"/>
    </row>
    <row r="418" spans="1:5" ht="15" customHeight="1">
      <c r="A418" s="1">
        <v>685</v>
      </c>
      <c r="B418" s="1" t="s">
        <v>2027</v>
      </c>
      <c r="C418" s="1" t="s">
        <v>2026</v>
      </c>
      <c r="D418" s="1">
        <v>1</v>
      </c>
      <c r="E418"/>
    </row>
    <row r="419" spans="1:5" ht="15" customHeight="1">
      <c r="A419" s="1">
        <v>690</v>
      </c>
      <c r="B419" s="1" t="s">
        <v>2029</v>
      </c>
      <c r="C419" s="1" t="s">
        <v>2028</v>
      </c>
      <c r="D419" s="1">
        <v>1</v>
      </c>
      <c r="E419"/>
    </row>
    <row r="420" spans="1:5" ht="15" customHeight="1">
      <c r="A420" s="1">
        <v>695</v>
      </c>
      <c r="B420" s="1" t="s">
        <v>2031</v>
      </c>
      <c r="C420" s="1" t="s">
        <v>2030</v>
      </c>
      <c r="D420" s="1">
        <v>1</v>
      </c>
      <c r="E420"/>
    </row>
    <row r="421" spans="1:5" ht="15" customHeight="1">
      <c r="A421" s="1">
        <v>698</v>
      </c>
      <c r="B421" s="1" t="s">
        <v>2032</v>
      </c>
      <c r="C421" s="90">
        <v>698</v>
      </c>
      <c r="D421" s="1">
        <v>1</v>
      </c>
      <c r="E421"/>
    </row>
    <row r="422" spans="1:5" ht="15" customHeight="1">
      <c r="A422" s="1">
        <v>700</v>
      </c>
      <c r="B422" s="1" t="s">
        <v>2034</v>
      </c>
      <c r="C422" s="1" t="s">
        <v>2033</v>
      </c>
      <c r="D422" s="1">
        <v>1</v>
      </c>
      <c r="E422"/>
    </row>
    <row r="423" spans="1:5" ht="15" customHeight="1">
      <c r="A423" s="1">
        <v>705</v>
      </c>
      <c r="B423" s="1" t="s">
        <v>2036</v>
      </c>
      <c r="C423" s="1" t="s">
        <v>2035</v>
      </c>
      <c r="D423" s="1">
        <v>1</v>
      </c>
      <c r="E423"/>
    </row>
    <row r="424" spans="1:5" ht="15" customHeight="1">
      <c r="A424" s="1">
        <v>710</v>
      </c>
      <c r="B424" s="1" t="s">
        <v>2038</v>
      </c>
      <c r="C424" s="1" t="s">
        <v>2037</v>
      </c>
      <c r="D424" s="1">
        <v>1</v>
      </c>
      <c r="E424"/>
    </row>
    <row r="425" spans="1:5" ht="15" customHeight="1">
      <c r="A425" s="1">
        <v>712</v>
      </c>
      <c r="B425" s="1" t="s">
        <v>2040</v>
      </c>
      <c r="C425" s="90">
        <v>712</v>
      </c>
      <c r="D425" s="1">
        <v>1</v>
      </c>
      <c r="E425"/>
    </row>
    <row r="426" spans="1:5" ht="15" customHeight="1">
      <c r="A426" s="1">
        <v>715</v>
      </c>
      <c r="B426" s="1" t="s">
        <v>2042</v>
      </c>
      <c r="C426" s="1" t="s">
        <v>2041</v>
      </c>
      <c r="D426" s="1">
        <v>1</v>
      </c>
      <c r="E426"/>
    </row>
    <row r="427" spans="1:5" ht="15" customHeight="1">
      <c r="A427" s="1">
        <v>717</v>
      </c>
      <c r="B427" s="1" t="s">
        <v>2044</v>
      </c>
      <c r="C427" s="1" t="s">
        <v>2043</v>
      </c>
      <c r="D427" s="1">
        <v>1</v>
      </c>
      <c r="E427"/>
    </row>
    <row r="428" spans="1:5" ht="15" customHeight="1">
      <c r="A428" s="1">
        <v>720</v>
      </c>
      <c r="B428" s="1" t="s">
        <v>2046</v>
      </c>
      <c r="C428" s="1" t="s">
        <v>2045</v>
      </c>
      <c r="D428" s="1">
        <v>1</v>
      </c>
      <c r="E428"/>
    </row>
    <row r="429" spans="1:5" ht="15" customHeight="1">
      <c r="A429" s="1">
        <v>725</v>
      </c>
      <c r="B429" s="1" t="s">
        <v>2048</v>
      </c>
      <c r="C429" s="1" t="s">
        <v>2047</v>
      </c>
      <c r="D429" s="1">
        <v>1</v>
      </c>
      <c r="E429"/>
    </row>
    <row r="430" spans="1:5" ht="15" customHeight="1">
      <c r="A430" s="1">
        <v>728</v>
      </c>
      <c r="B430" s="1" t="s">
        <v>2050</v>
      </c>
      <c r="C430" s="1" t="s">
        <v>2049</v>
      </c>
      <c r="D430" s="1">
        <v>1</v>
      </c>
      <c r="E430"/>
    </row>
    <row r="431" spans="1:5" ht="15" customHeight="1">
      <c r="A431" s="1">
        <v>730</v>
      </c>
      <c r="B431" s="1" t="s">
        <v>2052</v>
      </c>
      <c r="C431" s="1" t="s">
        <v>2051</v>
      </c>
      <c r="D431" s="1">
        <v>1</v>
      </c>
      <c r="E431"/>
    </row>
    <row r="432" spans="1:5" ht="15" customHeight="1">
      <c r="A432" s="1">
        <v>735</v>
      </c>
      <c r="B432" s="1" t="s">
        <v>2054</v>
      </c>
      <c r="C432" s="1" t="s">
        <v>2053</v>
      </c>
      <c r="D432" s="1">
        <v>1</v>
      </c>
      <c r="E432"/>
    </row>
    <row r="433" spans="1:5" ht="15" customHeight="1">
      <c r="A433" s="1">
        <v>740</v>
      </c>
      <c r="B433" s="1" t="s">
        <v>2056</v>
      </c>
      <c r="C433" s="1" t="s">
        <v>2055</v>
      </c>
      <c r="D433" s="1">
        <v>1</v>
      </c>
      <c r="E433"/>
    </row>
    <row r="434" spans="1:5" ht="15" customHeight="1">
      <c r="A434" s="1">
        <v>745</v>
      </c>
      <c r="B434" s="1" t="s">
        <v>2058</v>
      </c>
      <c r="C434" s="1" t="s">
        <v>2057</v>
      </c>
      <c r="D434" s="1">
        <v>1</v>
      </c>
      <c r="E434"/>
    </row>
    <row r="435" spans="1:5" ht="15" customHeight="1">
      <c r="A435" s="1">
        <v>750</v>
      </c>
      <c r="B435" s="1" t="s">
        <v>2060</v>
      </c>
      <c r="C435" s="1" t="s">
        <v>2059</v>
      </c>
      <c r="D435" s="1">
        <v>1</v>
      </c>
      <c r="E435"/>
    </row>
    <row r="436" spans="1:5" ht="15" customHeight="1">
      <c r="A436" s="1">
        <v>753</v>
      </c>
      <c r="B436" s="1" t="s">
        <v>2062</v>
      </c>
      <c r="C436" s="1" t="s">
        <v>2061</v>
      </c>
      <c r="D436" s="1">
        <v>1</v>
      </c>
      <c r="E436"/>
    </row>
    <row r="437" spans="1:5" ht="15" customHeight="1">
      <c r="A437" s="1">
        <v>755</v>
      </c>
      <c r="B437" s="1" t="s">
        <v>2064</v>
      </c>
      <c r="C437" s="1" t="s">
        <v>2063</v>
      </c>
      <c r="D437" s="1">
        <v>1</v>
      </c>
      <c r="E437"/>
    </row>
    <row r="438" spans="1:5" ht="15" customHeight="1">
      <c r="A438" s="1">
        <v>760</v>
      </c>
      <c r="B438" s="1" t="s">
        <v>2066</v>
      </c>
      <c r="C438" s="1" t="s">
        <v>2065</v>
      </c>
      <c r="D438" s="1">
        <v>1</v>
      </c>
      <c r="E438"/>
    </row>
    <row r="439" spans="1:5" ht="15" customHeight="1">
      <c r="A439" s="1">
        <v>763</v>
      </c>
      <c r="B439" s="1" t="s">
        <v>2068</v>
      </c>
      <c r="C439" s="90">
        <v>763</v>
      </c>
      <c r="D439" s="1">
        <v>1</v>
      </c>
      <c r="E439"/>
    </row>
    <row r="440" spans="1:5" ht="15" customHeight="1">
      <c r="A440" s="1">
        <v>765</v>
      </c>
      <c r="B440" s="1" t="s">
        <v>2070</v>
      </c>
      <c r="C440" s="1" t="s">
        <v>2069</v>
      </c>
      <c r="D440" s="1">
        <v>1</v>
      </c>
      <c r="E440"/>
    </row>
    <row r="441" spans="1:5" ht="15" customHeight="1">
      <c r="A441" s="1">
        <v>766</v>
      </c>
      <c r="B441" s="1" t="s">
        <v>2072</v>
      </c>
      <c r="C441" s="1" t="s">
        <v>2071</v>
      </c>
      <c r="D441" s="1">
        <v>1</v>
      </c>
      <c r="E441"/>
    </row>
    <row r="442" spans="1:5" ht="15" customHeight="1">
      <c r="A442" s="1">
        <v>767</v>
      </c>
      <c r="B442" s="1" t="s">
        <v>2074</v>
      </c>
      <c r="C442" s="1" t="s">
        <v>2073</v>
      </c>
      <c r="D442" s="1">
        <v>1</v>
      </c>
      <c r="E442"/>
    </row>
    <row r="443" spans="1:5" ht="15" customHeight="1">
      <c r="A443" s="1">
        <v>770</v>
      </c>
      <c r="B443" s="1" t="s">
        <v>2076</v>
      </c>
      <c r="C443" s="1" t="s">
        <v>2075</v>
      </c>
      <c r="D443" s="1">
        <v>1</v>
      </c>
      <c r="E443"/>
    </row>
    <row r="444" spans="1:5" ht="15" customHeight="1">
      <c r="A444" s="1">
        <v>773</v>
      </c>
      <c r="B444" s="1" t="s">
        <v>2078</v>
      </c>
      <c r="C444" s="1" t="s">
        <v>2077</v>
      </c>
      <c r="D444" s="1">
        <v>1</v>
      </c>
      <c r="E444"/>
    </row>
    <row r="445" spans="1:5" ht="15" customHeight="1">
      <c r="A445" s="1">
        <v>774</v>
      </c>
      <c r="B445" s="1" t="s">
        <v>2080</v>
      </c>
      <c r="C445" s="1" t="s">
        <v>2079</v>
      </c>
      <c r="D445" s="1">
        <v>1</v>
      </c>
      <c r="E445"/>
    </row>
    <row r="446" spans="1:5" ht="15" customHeight="1">
      <c r="A446" s="1">
        <v>775</v>
      </c>
      <c r="B446" s="1" t="s">
        <v>2082</v>
      </c>
      <c r="C446" s="1" t="s">
        <v>2081</v>
      </c>
      <c r="D446" s="1">
        <v>1</v>
      </c>
      <c r="E446"/>
    </row>
    <row r="447" spans="1:5" ht="15" customHeight="1">
      <c r="A447" s="1">
        <v>778</v>
      </c>
      <c r="B447" s="1" t="s">
        <v>2084</v>
      </c>
      <c r="C447" s="1" t="s">
        <v>2083</v>
      </c>
      <c r="D447" s="1">
        <v>1</v>
      </c>
      <c r="E447"/>
    </row>
    <row r="448" spans="1:5" ht="15" customHeight="1">
      <c r="A448" s="1">
        <v>780</v>
      </c>
      <c r="B448" s="1" t="s">
        <v>2086</v>
      </c>
      <c r="C448" s="1" t="s">
        <v>2085</v>
      </c>
      <c r="D448" s="1">
        <v>1</v>
      </c>
      <c r="E448"/>
    </row>
    <row r="449" spans="1:5" ht="15" customHeight="1">
      <c r="A449" s="1">
        <v>801</v>
      </c>
      <c r="B449" s="1" t="s">
        <v>2088</v>
      </c>
      <c r="C449" s="1" t="s">
        <v>2087</v>
      </c>
      <c r="D449" s="1">
        <v>1</v>
      </c>
      <c r="E449"/>
    </row>
    <row r="450" spans="1:5" ht="15" customHeight="1">
      <c r="A450" s="1">
        <v>805</v>
      </c>
      <c r="B450" s="1" t="s">
        <v>2090</v>
      </c>
      <c r="C450" s="1" t="s">
        <v>2089</v>
      </c>
      <c r="D450" s="1">
        <v>1</v>
      </c>
      <c r="E450"/>
    </row>
    <row r="451" spans="1:5" ht="15" customHeight="1">
      <c r="A451" s="1">
        <v>806</v>
      </c>
      <c r="B451" s="1" t="s">
        <v>2092</v>
      </c>
      <c r="C451" s="1" t="s">
        <v>2091</v>
      </c>
      <c r="D451" s="1">
        <v>1</v>
      </c>
      <c r="E451"/>
    </row>
    <row r="452" spans="1:5" ht="15" customHeight="1">
      <c r="A452" s="1">
        <v>810</v>
      </c>
      <c r="B452" s="1" t="s">
        <v>2094</v>
      </c>
      <c r="C452" s="1" t="s">
        <v>2093</v>
      </c>
      <c r="D452" s="1">
        <v>1</v>
      </c>
      <c r="E452"/>
    </row>
    <row r="453" spans="1:5" ht="15" customHeight="1">
      <c r="A453" s="1">
        <v>815</v>
      </c>
      <c r="B453" s="1" t="s">
        <v>2096</v>
      </c>
      <c r="C453" s="1" t="s">
        <v>2095</v>
      </c>
      <c r="D453" s="1">
        <v>1</v>
      </c>
      <c r="E453"/>
    </row>
    <row r="454" spans="1:5" ht="15" customHeight="1">
      <c r="A454" s="1">
        <v>817</v>
      </c>
      <c r="B454" s="1" t="s">
        <v>2098</v>
      </c>
      <c r="C454" s="90">
        <v>817</v>
      </c>
      <c r="D454" s="1">
        <v>1</v>
      </c>
      <c r="E454"/>
    </row>
    <row r="455" spans="1:5" ht="15" customHeight="1">
      <c r="A455" s="1">
        <v>818</v>
      </c>
      <c r="B455" s="1" t="s">
        <v>2100</v>
      </c>
      <c r="C455" s="1" t="s">
        <v>2099</v>
      </c>
      <c r="D455" s="1">
        <v>1</v>
      </c>
      <c r="E455"/>
    </row>
    <row r="456" spans="1:5" ht="15" customHeight="1">
      <c r="A456" s="1">
        <v>821</v>
      </c>
      <c r="B456" s="1" t="s">
        <v>2102</v>
      </c>
      <c r="C456" s="1" t="s">
        <v>2101</v>
      </c>
      <c r="D456" s="1">
        <v>1</v>
      </c>
      <c r="E456"/>
    </row>
    <row r="457" spans="1:5" ht="15" customHeight="1">
      <c r="A457" s="1">
        <v>823</v>
      </c>
      <c r="B457" s="1" t="s">
        <v>2104</v>
      </c>
      <c r="C457" s="1" t="s">
        <v>2103</v>
      </c>
      <c r="D457" s="1">
        <v>1</v>
      </c>
      <c r="E457"/>
    </row>
    <row r="458" spans="1:5" ht="15" customHeight="1">
      <c r="A458" s="1">
        <v>825</v>
      </c>
      <c r="B458" s="1" t="s">
        <v>2106</v>
      </c>
      <c r="C458" s="1" t="s">
        <v>2105</v>
      </c>
      <c r="D458" s="1">
        <v>1</v>
      </c>
      <c r="E458"/>
    </row>
    <row r="459" spans="1:5" ht="15" customHeight="1">
      <c r="A459" s="1">
        <v>828</v>
      </c>
      <c r="B459" s="1" t="s">
        <v>2108</v>
      </c>
      <c r="C459" s="1" t="s">
        <v>2107</v>
      </c>
      <c r="D459" s="1">
        <v>1</v>
      </c>
      <c r="E459"/>
    </row>
    <row r="460" spans="1:5" ht="15" customHeight="1">
      <c r="A460" s="1">
        <v>829</v>
      </c>
      <c r="B460" s="1" t="s">
        <v>2110</v>
      </c>
      <c r="C460" s="1" t="s">
        <v>2109</v>
      </c>
      <c r="D460" s="1">
        <v>1</v>
      </c>
      <c r="E460"/>
    </row>
    <row r="461" spans="1:5" ht="15" customHeight="1">
      <c r="A461" s="1">
        <v>830</v>
      </c>
      <c r="B461" s="1" t="s">
        <v>2112</v>
      </c>
      <c r="C461" s="1" t="s">
        <v>2111</v>
      </c>
      <c r="D461" s="1">
        <v>1</v>
      </c>
      <c r="E461"/>
    </row>
    <row r="462" spans="1:5" ht="15" customHeight="1">
      <c r="A462" s="1">
        <v>832</v>
      </c>
      <c r="B462" s="1" t="s">
        <v>2114</v>
      </c>
      <c r="C462" s="1" t="s">
        <v>2113</v>
      </c>
      <c r="D462" s="1">
        <v>1</v>
      </c>
      <c r="E462"/>
    </row>
    <row r="463" spans="1:5" ht="15" customHeight="1">
      <c r="A463" s="1">
        <v>851</v>
      </c>
      <c r="B463" s="1" t="s">
        <v>2116</v>
      </c>
      <c r="C463" s="1" t="s">
        <v>2115</v>
      </c>
      <c r="D463" s="1">
        <v>1</v>
      </c>
      <c r="E463"/>
    </row>
    <row r="464" spans="1:5" ht="15" customHeight="1">
      <c r="A464" s="1">
        <v>852</v>
      </c>
      <c r="B464" s="1" t="s">
        <v>2118</v>
      </c>
      <c r="C464" s="1" t="s">
        <v>2117</v>
      </c>
      <c r="D464" s="1">
        <v>1</v>
      </c>
      <c r="E464"/>
    </row>
    <row r="465" spans="1:8" ht="15" customHeight="1">
      <c r="A465" s="1">
        <v>853</v>
      </c>
      <c r="B465" s="1" t="s">
        <v>2120</v>
      </c>
      <c r="C465" s="1" t="s">
        <v>2119</v>
      </c>
      <c r="D465" s="1">
        <v>1</v>
      </c>
      <c r="E465"/>
    </row>
    <row r="466" spans="1:8" ht="15" customHeight="1">
      <c r="A466" s="1">
        <v>855</v>
      </c>
      <c r="B466" s="1" t="s">
        <v>2122</v>
      </c>
      <c r="C466" s="1" t="s">
        <v>2121</v>
      </c>
      <c r="D466" s="1">
        <v>1</v>
      </c>
      <c r="E466"/>
    </row>
    <row r="467" spans="1:8" ht="15" customHeight="1">
      <c r="A467" s="1">
        <v>860</v>
      </c>
      <c r="B467" s="1" t="s">
        <v>2124</v>
      </c>
      <c r="C467" s="1" t="s">
        <v>2123</v>
      </c>
      <c r="D467" s="1">
        <v>1</v>
      </c>
      <c r="E467"/>
    </row>
    <row r="468" spans="1:8" ht="15" customHeight="1">
      <c r="A468" s="1">
        <v>871</v>
      </c>
      <c r="B468" s="1" t="s">
        <v>2126</v>
      </c>
      <c r="C468" s="1" t="s">
        <v>2125</v>
      </c>
      <c r="D468" s="1">
        <v>1</v>
      </c>
      <c r="E468"/>
    </row>
    <row r="469" spans="1:8" ht="15" customHeight="1">
      <c r="A469" s="1">
        <v>872</v>
      </c>
      <c r="B469" s="1" t="s">
        <v>2128</v>
      </c>
      <c r="C469" s="1" t="s">
        <v>2127</v>
      </c>
      <c r="D469" s="1">
        <v>1</v>
      </c>
      <c r="E469"/>
    </row>
    <row r="470" spans="1:8" ht="15" customHeight="1">
      <c r="A470" s="1">
        <v>873</v>
      </c>
      <c r="B470" s="1" t="s">
        <v>2130</v>
      </c>
      <c r="C470" s="1" t="s">
        <v>2129</v>
      </c>
      <c r="D470" s="1">
        <v>1</v>
      </c>
      <c r="E470"/>
    </row>
    <row r="471" spans="1:8" ht="15" customHeight="1">
      <c r="A471" s="1">
        <v>876</v>
      </c>
      <c r="B471" s="1" t="s">
        <v>2132</v>
      </c>
      <c r="C471" s="1" t="s">
        <v>2131</v>
      </c>
      <c r="D471" s="1">
        <v>1</v>
      </c>
      <c r="E471"/>
    </row>
    <row r="472" spans="1:8" ht="15" customHeight="1">
      <c r="A472" s="1">
        <v>878</v>
      </c>
      <c r="B472" s="1" t="s">
        <v>2134</v>
      </c>
      <c r="C472" s="1" t="s">
        <v>2133</v>
      </c>
      <c r="D472" s="1">
        <v>1</v>
      </c>
      <c r="E472"/>
    </row>
    <row r="473" spans="1:8" ht="15" customHeight="1">
      <c r="A473" s="1">
        <v>879</v>
      </c>
      <c r="B473" s="1" t="s">
        <v>2136</v>
      </c>
      <c r="C473" s="1" t="s">
        <v>2135</v>
      </c>
      <c r="D473" s="1">
        <v>1</v>
      </c>
      <c r="E473"/>
    </row>
    <row r="474" spans="1:8" ht="15" customHeight="1">
      <c r="A474" s="1">
        <v>885</v>
      </c>
      <c r="B474" s="1" t="s">
        <v>2138</v>
      </c>
      <c r="C474" s="1" t="s">
        <v>2137</v>
      </c>
      <c r="D474" s="1">
        <v>1</v>
      </c>
      <c r="E474"/>
    </row>
    <row r="475" spans="1:8" ht="15" customHeight="1">
      <c r="A475" s="1">
        <v>910</v>
      </c>
      <c r="B475" s="1" t="s">
        <v>2140</v>
      </c>
      <c r="C475" s="1" t="s">
        <v>2139</v>
      </c>
      <c r="D475" s="1">
        <v>1</v>
      </c>
      <c r="E475"/>
    </row>
    <row r="476" spans="1:8" ht="15" customHeight="1">
      <c r="A476" s="1">
        <v>915</v>
      </c>
      <c r="B476" s="1" t="s">
        <v>2142</v>
      </c>
      <c r="C476" s="1" t="s">
        <v>2141</v>
      </c>
      <c r="D476" s="1">
        <v>1</v>
      </c>
    </row>
    <row r="478" spans="1:8" ht="15" customHeight="1">
      <c r="C478" s="46" t="s">
        <v>2240</v>
      </c>
      <c r="D478" s="46" t="s">
        <v>2241</v>
      </c>
    </row>
    <row r="480" spans="1:8" ht="15" customHeight="1">
      <c r="C480" s="125" t="s">
        <v>2242</v>
      </c>
      <c r="D480" s="1" t="s">
        <v>83</v>
      </c>
      <c r="E480" s="1">
        <f>'eoy24'!E1240</f>
        <v>2336</v>
      </c>
      <c r="G480" s="220">
        <v>1110</v>
      </c>
      <c r="H480" s="125"/>
    </row>
    <row r="481" spans="3:8" ht="15" customHeight="1">
      <c r="C481" s="125" t="s">
        <v>2242</v>
      </c>
      <c r="D481" s="1" t="s">
        <v>83</v>
      </c>
      <c r="E481" s="1">
        <f>'eoy24'!F1240</f>
        <v>0</v>
      </c>
      <c r="G481" s="220">
        <v>1110</v>
      </c>
      <c r="H481" s="125"/>
    </row>
    <row r="482" spans="3:8" ht="15" customHeight="1">
      <c r="C482" s="125" t="s">
        <v>2242</v>
      </c>
      <c r="D482" s="1" t="s">
        <v>90</v>
      </c>
      <c r="E482" s="1">
        <f>'eoy24'!E1241</f>
        <v>380243</v>
      </c>
      <c r="G482" s="220">
        <v>1210</v>
      </c>
      <c r="H482" s="125"/>
    </row>
    <row r="483" spans="3:8" ht="15" customHeight="1">
      <c r="C483" s="125" t="s">
        <v>2242</v>
      </c>
      <c r="D483" s="1" t="s">
        <v>92</v>
      </c>
      <c r="E483" s="1">
        <f>'eoy24'!E1242</f>
        <v>0</v>
      </c>
      <c r="G483" s="220">
        <v>1220</v>
      </c>
      <c r="H483" s="125"/>
    </row>
    <row r="484" spans="3:8" ht="15" customHeight="1">
      <c r="C484" s="125" t="s">
        <v>2242</v>
      </c>
      <c r="D484" s="1" t="s">
        <v>93</v>
      </c>
      <c r="E484" s="1">
        <f>'eoy24'!E1243</f>
        <v>46046</v>
      </c>
      <c r="G484" s="220">
        <v>1230</v>
      </c>
      <c r="H484" s="125"/>
    </row>
    <row r="485" spans="3:8" ht="15" customHeight="1">
      <c r="C485" s="125" t="s">
        <v>2242</v>
      </c>
      <c r="D485" s="1" t="s">
        <v>94</v>
      </c>
      <c r="E485" s="1">
        <f>'eoy24'!E1244</f>
        <v>263354</v>
      </c>
      <c r="G485" s="220">
        <v>1410</v>
      </c>
      <c r="H485" s="125"/>
    </row>
    <row r="486" spans="3:8" ht="15" customHeight="1">
      <c r="C486" s="125" t="s">
        <v>2242</v>
      </c>
      <c r="D486" s="1" t="s">
        <v>94</v>
      </c>
      <c r="E486" s="1">
        <f>'eoy24'!F1244</f>
        <v>225987</v>
      </c>
      <c r="G486" s="220">
        <v>1410</v>
      </c>
      <c r="H486" s="125"/>
    </row>
    <row r="487" spans="3:8" ht="15" customHeight="1">
      <c r="C487" s="125" t="s">
        <v>2242</v>
      </c>
      <c r="D487" s="1" t="s">
        <v>95</v>
      </c>
      <c r="E487" s="1">
        <f>'eoy24'!E1245</f>
        <v>28977</v>
      </c>
      <c r="G487" s="220">
        <v>1420</v>
      </c>
      <c r="H487" s="125"/>
    </row>
    <row r="488" spans="3:8" ht="15" customHeight="1">
      <c r="C488" s="125" t="s">
        <v>2242</v>
      </c>
      <c r="D488" s="1" t="s">
        <v>95</v>
      </c>
      <c r="E488" s="1">
        <f>'eoy24'!F1245</f>
        <v>0</v>
      </c>
      <c r="G488" s="220">
        <v>1420</v>
      </c>
      <c r="H488" s="125"/>
    </row>
    <row r="489" spans="3:8" ht="15" customHeight="1">
      <c r="C489" s="125" t="s">
        <v>2242</v>
      </c>
      <c r="D489" s="1" t="s">
        <v>236</v>
      </c>
      <c r="E489" s="1">
        <f>'eoy24'!E1246</f>
        <v>35992</v>
      </c>
      <c r="G489" s="220">
        <v>1430</v>
      </c>
      <c r="H489" s="125"/>
    </row>
    <row r="490" spans="3:8" ht="15" customHeight="1">
      <c r="C490" s="125" t="s">
        <v>2242</v>
      </c>
      <c r="D490" s="1" t="s">
        <v>236</v>
      </c>
      <c r="E490" s="1">
        <f>'eoy24'!F1246</f>
        <v>0</v>
      </c>
      <c r="G490" s="220">
        <v>1430</v>
      </c>
      <c r="H490" s="125"/>
    </row>
    <row r="491" spans="3:8" ht="15" customHeight="1">
      <c r="C491" s="125" t="s">
        <v>2242</v>
      </c>
      <c r="D491" s="1" t="s">
        <v>910</v>
      </c>
      <c r="E491" s="1">
        <f>'eoy24'!E1248</f>
        <v>174917</v>
      </c>
      <c r="G491" s="220">
        <v>1450</v>
      </c>
      <c r="H491" s="125"/>
    </row>
    <row r="492" spans="3:8" ht="15" customHeight="1">
      <c r="C492" s="125" t="s">
        <v>2242</v>
      </c>
      <c r="D492" s="1" t="s">
        <v>910</v>
      </c>
      <c r="E492" s="1">
        <f>'eoy24'!F1248</f>
        <v>0</v>
      </c>
      <c r="G492" s="220">
        <v>1450</v>
      </c>
      <c r="H492" s="125"/>
    </row>
    <row r="493" spans="3:8" ht="15" customHeight="1">
      <c r="C493" s="125" t="s">
        <v>2242</v>
      </c>
      <c r="D493" s="1" t="s">
        <v>247</v>
      </c>
      <c r="E493" s="1">
        <f>'eoy24'!E1284</f>
        <v>0</v>
      </c>
      <c r="G493" s="220">
        <v>3600</v>
      </c>
      <c r="H493" s="125"/>
    </row>
    <row r="494" spans="3:8" ht="15" customHeight="1">
      <c r="C494" s="125" t="s">
        <v>2242</v>
      </c>
      <c r="D494" s="1" t="s">
        <v>247</v>
      </c>
      <c r="E494" s="1">
        <f>'eoy24'!F1284</f>
        <v>0</v>
      </c>
      <c r="G494" s="220">
        <v>3600</v>
      </c>
      <c r="H494" s="125"/>
    </row>
    <row r="495" spans="3:8" ht="15" customHeight="1">
      <c r="C495" s="125" t="s">
        <v>2242</v>
      </c>
      <c r="D495" s="1" t="s">
        <v>137</v>
      </c>
      <c r="E495" s="1">
        <f>'eoy24'!E1285</f>
        <v>803662</v>
      </c>
      <c r="G495" s="220">
        <v>4110</v>
      </c>
      <c r="H495" s="125"/>
    </row>
    <row r="496" spans="3:8" ht="15" customHeight="1">
      <c r="C496" s="125" t="s">
        <v>2242</v>
      </c>
      <c r="D496" s="1" t="s">
        <v>137</v>
      </c>
      <c r="E496" s="1">
        <f>'eoy24'!F1285</f>
        <v>0</v>
      </c>
      <c r="G496" s="220">
        <v>4110</v>
      </c>
      <c r="H496" s="125"/>
    </row>
    <row r="497" spans="3:8" ht="15" customHeight="1">
      <c r="C497" s="125" t="s">
        <v>2242</v>
      </c>
      <c r="D497" s="1" t="s">
        <v>138</v>
      </c>
      <c r="E497" s="1">
        <f>'eoy24'!E1286</f>
        <v>115721</v>
      </c>
      <c r="G497" s="220">
        <v>4120</v>
      </c>
      <c r="H497" s="125"/>
    </row>
    <row r="498" spans="3:8" ht="15" customHeight="1">
      <c r="C498" s="125" t="s">
        <v>2242</v>
      </c>
      <c r="D498" s="1" t="s">
        <v>138</v>
      </c>
      <c r="E498" s="1">
        <f>'eoy24'!F1286</f>
        <v>0</v>
      </c>
      <c r="G498" s="220">
        <v>4120</v>
      </c>
      <c r="H498" s="125"/>
    </row>
    <row r="499" spans="3:8" ht="15" customHeight="1">
      <c r="C499" s="125" t="s">
        <v>2242</v>
      </c>
      <c r="D499" s="1" t="s">
        <v>139</v>
      </c>
      <c r="E499" s="1">
        <f>'eoy24'!E1287</f>
        <v>372021</v>
      </c>
      <c r="G499" s="220">
        <v>4130</v>
      </c>
      <c r="H499" s="125"/>
    </row>
    <row r="500" spans="3:8" ht="15" customHeight="1">
      <c r="C500" s="125" t="s">
        <v>2242</v>
      </c>
      <c r="D500" s="1" t="s">
        <v>139</v>
      </c>
      <c r="E500" s="1">
        <f>'eoy24'!F1287</f>
        <v>0</v>
      </c>
      <c r="G500" s="220">
        <v>4130</v>
      </c>
      <c r="H500" s="125"/>
    </row>
    <row r="501" spans="3:8" ht="15" customHeight="1">
      <c r="C501" s="125" t="s">
        <v>2242</v>
      </c>
      <c r="D501" s="1" t="s">
        <v>140</v>
      </c>
      <c r="E501" s="1">
        <f>'eoy24'!E1288</f>
        <v>30742</v>
      </c>
      <c r="G501" s="220">
        <v>4210</v>
      </c>
      <c r="H501" s="125"/>
    </row>
    <row r="502" spans="3:8" ht="15" customHeight="1">
      <c r="C502" s="125" t="s">
        <v>2242</v>
      </c>
      <c r="D502" s="1" t="s">
        <v>140</v>
      </c>
      <c r="E502" s="1">
        <f>'eoy24'!F1288</f>
        <v>85288</v>
      </c>
      <c r="G502" s="220">
        <v>4210</v>
      </c>
      <c r="H502" s="125"/>
    </row>
    <row r="503" spans="3:8" ht="15" customHeight="1">
      <c r="C503" s="125" t="s">
        <v>2242</v>
      </c>
      <c r="D503" s="1" t="s">
        <v>141</v>
      </c>
      <c r="E503" s="1">
        <f>'eoy24'!E1289</f>
        <v>341279</v>
      </c>
      <c r="G503" s="220">
        <v>4220</v>
      </c>
      <c r="H503" s="125"/>
    </row>
    <row r="504" spans="3:8" ht="15" customHeight="1">
      <c r="C504" s="125" t="s">
        <v>2242</v>
      </c>
      <c r="D504" s="1" t="s">
        <v>141</v>
      </c>
      <c r="E504" s="1">
        <f>'eoy24'!F1289</f>
        <v>0</v>
      </c>
      <c r="G504" s="220">
        <v>4220</v>
      </c>
      <c r="H504" s="125"/>
    </row>
    <row r="505" spans="3:8" ht="15" customHeight="1">
      <c r="C505" s="125" t="s">
        <v>2242</v>
      </c>
      <c r="D505" s="1" t="s">
        <v>142</v>
      </c>
      <c r="E505" s="1">
        <f>'eoy24'!E1290</f>
        <v>2130</v>
      </c>
      <c r="G505" s="220">
        <v>4225</v>
      </c>
      <c r="H505" s="125"/>
    </row>
    <row r="506" spans="3:8" ht="15" customHeight="1">
      <c r="C506" s="125" t="s">
        <v>2242</v>
      </c>
      <c r="D506" s="1" t="s">
        <v>142</v>
      </c>
      <c r="E506" s="1">
        <f>'eoy24'!F1290</f>
        <v>0</v>
      </c>
      <c r="G506" s="220">
        <v>4225</v>
      </c>
      <c r="H506" s="125"/>
    </row>
    <row r="507" spans="3:8" ht="15" customHeight="1">
      <c r="C507" s="125" t="s">
        <v>2242</v>
      </c>
      <c r="D507" s="1" t="s">
        <v>143</v>
      </c>
      <c r="E507" s="1">
        <f>'eoy24'!E1291</f>
        <v>19860</v>
      </c>
      <c r="G507" s="220">
        <v>4230</v>
      </c>
      <c r="H507" s="125"/>
    </row>
    <row r="508" spans="3:8" ht="15" customHeight="1">
      <c r="C508" s="125" t="s">
        <v>2242</v>
      </c>
      <c r="D508" s="1" t="s">
        <v>143</v>
      </c>
      <c r="E508" s="1">
        <f>'eoy24'!F1291</f>
        <v>0</v>
      </c>
      <c r="G508" s="220">
        <v>4230</v>
      </c>
      <c r="H508" s="125"/>
    </row>
    <row r="509" spans="3:8" ht="15" customHeight="1">
      <c r="C509" s="125" t="s">
        <v>2242</v>
      </c>
      <c r="D509" s="1" t="s">
        <v>248</v>
      </c>
      <c r="E509" s="1">
        <f>'eoy24'!E1292</f>
        <v>0</v>
      </c>
      <c r="G509" s="220">
        <v>4300</v>
      </c>
      <c r="H509" s="125"/>
    </row>
    <row r="510" spans="3:8" ht="15" customHeight="1">
      <c r="C510" s="125" t="s">
        <v>2242</v>
      </c>
      <c r="D510" s="1" t="s">
        <v>248</v>
      </c>
      <c r="E510" s="1">
        <f>'eoy24'!F1292</f>
        <v>68800</v>
      </c>
      <c r="G510" s="220">
        <v>4300</v>
      </c>
      <c r="H510" s="125"/>
    </row>
    <row r="511" spans="3:8" ht="15" customHeight="1">
      <c r="C511" s="125" t="s">
        <v>2242</v>
      </c>
      <c r="D511" s="1" t="s">
        <v>2243</v>
      </c>
      <c r="E511" s="1">
        <f>'eoy24'!E1293</f>
        <v>0</v>
      </c>
      <c r="G511" s="220">
        <v>4400</v>
      </c>
      <c r="H511" s="125"/>
    </row>
    <row r="512" spans="3:8" ht="15" customHeight="1">
      <c r="C512" s="125" t="s">
        <v>2242</v>
      </c>
      <c r="D512" s="1" t="s">
        <v>2243</v>
      </c>
      <c r="E512" s="1">
        <f>'eoy24'!F1293</f>
        <v>0</v>
      </c>
      <c r="G512" s="220">
        <v>4400</v>
      </c>
      <c r="H512" s="125"/>
    </row>
    <row r="513" spans="3:8" ht="15" customHeight="1">
      <c r="C513" s="125" t="s">
        <v>2242</v>
      </c>
      <c r="D513" s="1" t="s">
        <v>924</v>
      </c>
      <c r="E513" s="1">
        <f>'eoy24'!E1294</f>
        <v>486553</v>
      </c>
      <c r="G513" s="220">
        <v>4450</v>
      </c>
      <c r="H513" s="125"/>
    </row>
    <row r="514" spans="3:8" ht="15" customHeight="1">
      <c r="C514" s="125" t="s">
        <v>2242</v>
      </c>
      <c r="D514" s="1" t="s">
        <v>924</v>
      </c>
      <c r="E514" s="1">
        <f>'eoy24'!F1294</f>
        <v>0</v>
      </c>
      <c r="G514" s="220">
        <v>4450</v>
      </c>
      <c r="H514" s="125"/>
    </row>
    <row r="515" spans="3:8" ht="15" customHeight="1">
      <c r="C515" s="125" t="s">
        <v>2244</v>
      </c>
      <c r="D515" s="1" t="s">
        <v>245</v>
      </c>
      <c r="E515" s="1">
        <f ca="1">'eoy24'!E1277</f>
        <v>13665265</v>
      </c>
      <c r="G515" s="220">
        <v>2000</v>
      </c>
      <c r="H515" s="125"/>
    </row>
    <row r="516" spans="3:8" ht="15" customHeight="1">
      <c r="C516" s="125" t="s">
        <v>2245</v>
      </c>
      <c r="D516" s="1" t="s">
        <v>245</v>
      </c>
      <c r="E516" s="1">
        <f ca="1">'eoy24'!F1277</f>
        <v>0</v>
      </c>
      <c r="G516" s="220">
        <v>2000</v>
      </c>
      <c r="H516" s="126"/>
    </row>
    <row r="517" spans="3:8" ht="15" customHeight="1">
      <c r="C517" s="125" t="s">
        <v>2245</v>
      </c>
      <c r="D517" s="1" t="s">
        <v>129</v>
      </c>
      <c r="E517" s="1">
        <f>'eoy24'!E1278</f>
        <v>0</v>
      </c>
      <c r="G517" s="220">
        <v>3100</v>
      </c>
      <c r="H517" s="125"/>
    </row>
    <row r="518" spans="3:8" ht="15" customHeight="1">
      <c r="C518" s="125" t="s">
        <v>2245</v>
      </c>
      <c r="D518" s="1" t="s">
        <v>130</v>
      </c>
      <c r="E518" s="1">
        <f>'eoy24'!E1279</f>
        <v>248493</v>
      </c>
      <c r="G518" s="220">
        <v>3200</v>
      </c>
      <c r="H518" s="125"/>
    </row>
    <row r="519" spans="3:8" ht="15" customHeight="1">
      <c r="C519" s="125" t="s">
        <v>2245</v>
      </c>
      <c r="D519" s="1" t="s">
        <v>130</v>
      </c>
      <c r="E519" s="1">
        <f>'eoy24'!F1279</f>
        <v>0</v>
      </c>
      <c r="G519" s="220">
        <v>3200</v>
      </c>
      <c r="H519" s="125"/>
    </row>
    <row r="520" spans="3:8" ht="15" customHeight="1">
      <c r="C520" s="125" t="s">
        <v>2245</v>
      </c>
      <c r="D520" s="1" t="s">
        <v>132</v>
      </c>
      <c r="E520" s="1">
        <f>'eoy24'!E1281</f>
        <v>0</v>
      </c>
      <c r="G520" s="220">
        <v>3400</v>
      </c>
      <c r="H520" s="125"/>
    </row>
    <row r="521" spans="3:8" ht="15" customHeight="1">
      <c r="C521" s="125" t="s">
        <v>2245</v>
      </c>
      <c r="D521" s="1" t="s">
        <v>147</v>
      </c>
      <c r="E521" s="1">
        <f>'eoy24'!E1295</f>
        <v>0</v>
      </c>
      <c r="G521" s="220">
        <v>5100</v>
      </c>
      <c r="H521" s="125"/>
    </row>
    <row r="522" spans="3:8" ht="15" customHeight="1">
      <c r="C522" s="125" t="s">
        <v>2245</v>
      </c>
      <c r="D522" s="1" t="s">
        <v>147</v>
      </c>
      <c r="E522" s="1">
        <f>'eoy24'!F1295</f>
        <v>343301</v>
      </c>
      <c r="G522" s="220">
        <v>5100</v>
      </c>
      <c r="H522" s="125"/>
    </row>
    <row r="523" spans="3:8" ht="15" customHeight="1">
      <c r="C523" s="125" t="s">
        <v>2245</v>
      </c>
      <c r="D523" s="1" t="s">
        <v>148</v>
      </c>
      <c r="E523" s="1">
        <f>'eoy24'!E1296</f>
        <v>0</v>
      </c>
      <c r="G523" s="220">
        <v>5150</v>
      </c>
      <c r="H523" s="125"/>
    </row>
    <row r="524" spans="3:8" ht="15" customHeight="1">
      <c r="C524" s="125" t="s">
        <v>2245</v>
      </c>
      <c r="D524" s="1" t="s">
        <v>148</v>
      </c>
      <c r="E524" s="1">
        <f>'eoy24'!F1296</f>
        <v>15748</v>
      </c>
      <c r="G524" s="220">
        <v>5150</v>
      </c>
      <c r="H524" s="125"/>
    </row>
    <row r="525" spans="3:8" ht="15" customHeight="1">
      <c r="C525" s="125" t="s">
        <v>2245</v>
      </c>
      <c r="D525" s="1" t="s">
        <v>150</v>
      </c>
      <c r="E525" s="1">
        <f>'eoy24'!E1297</f>
        <v>242505</v>
      </c>
      <c r="G525" s="220">
        <v>5200</v>
      </c>
      <c r="H525" s="125"/>
    </row>
    <row r="526" spans="3:8" ht="15" customHeight="1">
      <c r="C526" s="125" t="s">
        <v>2245</v>
      </c>
      <c r="D526" s="1" t="s">
        <v>150</v>
      </c>
      <c r="E526" s="1">
        <f>'eoy24'!F1297</f>
        <v>242505</v>
      </c>
      <c r="G526" s="220">
        <v>5200</v>
      </c>
      <c r="H526" s="125"/>
    </row>
    <row r="527" spans="3:8" ht="15" customHeight="1">
      <c r="C527" s="125" t="s">
        <v>2245</v>
      </c>
      <c r="D527" s="1" t="s">
        <v>151</v>
      </c>
      <c r="E527" s="1">
        <f>'eoy24'!E1298</f>
        <v>1221146</v>
      </c>
      <c r="G527" s="220">
        <v>5250</v>
      </c>
      <c r="H527" s="125"/>
    </row>
    <row r="528" spans="3:8" ht="15" customHeight="1">
      <c r="C528" s="125" t="s">
        <v>2245</v>
      </c>
      <c r="D528" s="1" t="s">
        <v>151</v>
      </c>
      <c r="E528" s="1">
        <f>'eoy24'!F1298</f>
        <v>1221146</v>
      </c>
      <c r="G528" s="220">
        <v>5250</v>
      </c>
      <c r="H528" s="125"/>
    </row>
    <row r="529" spans="3:8" ht="15" customHeight="1">
      <c r="C529" s="125" t="s">
        <v>2245</v>
      </c>
      <c r="D529" s="1" t="s">
        <v>197</v>
      </c>
      <c r="E529" s="1">
        <f>'eoy24'!E1299</f>
        <v>0</v>
      </c>
      <c r="G529" s="220">
        <v>5260</v>
      </c>
      <c r="H529" s="125"/>
    </row>
    <row r="530" spans="3:8" ht="15" customHeight="1">
      <c r="C530" s="125" t="s">
        <v>2245</v>
      </c>
      <c r="D530" s="1" t="s">
        <v>197</v>
      </c>
      <c r="E530" s="1">
        <f>'eoy24'!F1299</f>
        <v>0</v>
      </c>
      <c r="G530" s="220">
        <v>5260</v>
      </c>
      <c r="H530" s="125"/>
    </row>
    <row r="531" spans="3:8" ht="15" customHeight="1">
      <c r="C531" s="125" t="s">
        <v>2245</v>
      </c>
      <c r="D531" s="1" t="s">
        <v>249</v>
      </c>
      <c r="E531" s="1">
        <f>'eoy24'!E1300</f>
        <v>0</v>
      </c>
      <c r="G531" s="220">
        <v>5300</v>
      </c>
      <c r="H531" s="125"/>
    </row>
    <row r="532" spans="3:8" ht="15" customHeight="1">
      <c r="C532" s="125" t="s">
        <v>2245</v>
      </c>
      <c r="D532" s="1" t="s">
        <v>249</v>
      </c>
      <c r="E532" s="1">
        <f>'eoy24'!F1300</f>
        <v>0</v>
      </c>
      <c r="G532" s="220">
        <v>5300</v>
      </c>
      <c r="H532" s="125"/>
    </row>
    <row r="533" spans="3:8" ht="15" customHeight="1">
      <c r="C533" s="125" t="s">
        <v>2245</v>
      </c>
      <c r="D533" s="1" t="s">
        <v>250</v>
      </c>
      <c r="E533" s="1">
        <f>'eoy24'!E1301</f>
        <v>0</v>
      </c>
      <c r="G533" s="220">
        <v>5350</v>
      </c>
      <c r="H533" s="125"/>
    </row>
    <row r="534" spans="3:8" ht="15" customHeight="1">
      <c r="C534" s="125" t="s">
        <v>2245</v>
      </c>
      <c r="D534" s="1" t="s">
        <v>250</v>
      </c>
      <c r="E534" s="1">
        <f>'eoy24'!F1301</f>
        <v>0</v>
      </c>
      <c r="G534" s="220">
        <v>5350</v>
      </c>
      <c r="H534" s="125"/>
    </row>
    <row r="535" spans="3:8" ht="15" customHeight="1">
      <c r="C535" s="125" t="s">
        <v>2245</v>
      </c>
      <c r="D535" s="1" t="s">
        <v>251</v>
      </c>
      <c r="E535" s="1">
        <f>'eoy24'!E1302</f>
        <v>0</v>
      </c>
      <c r="G535" s="220">
        <v>5400</v>
      </c>
      <c r="H535" s="125"/>
    </row>
    <row r="536" spans="3:8" ht="15" customHeight="1">
      <c r="C536" s="125" t="s">
        <v>2245</v>
      </c>
      <c r="D536" s="1" t="s">
        <v>251</v>
      </c>
      <c r="E536" s="1">
        <f>'eoy24'!F1302</f>
        <v>0</v>
      </c>
      <c r="G536" s="220">
        <v>5400</v>
      </c>
      <c r="H536" s="125"/>
    </row>
    <row r="537" spans="3:8" ht="15" customHeight="1">
      <c r="C537" s="125" t="s">
        <v>2245</v>
      </c>
      <c r="D537" s="1" t="s">
        <v>158</v>
      </c>
      <c r="E537" s="1">
        <f>'eoy24'!E1304</f>
        <v>0</v>
      </c>
      <c r="G537" s="220">
        <v>5500</v>
      </c>
      <c r="H537" s="125"/>
    </row>
    <row r="538" spans="3:8" ht="15" customHeight="1">
      <c r="C538" s="125" t="s">
        <v>2245</v>
      </c>
      <c r="D538" s="1" t="s">
        <v>158</v>
      </c>
      <c r="E538" s="1">
        <f>'eoy24'!F1304</f>
        <v>0</v>
      </c>
      <c r="G538" s="220">
        <v>5500</v>
      </c>
      <c r="H538" s="125"/>
    </row>
    <row r="539" spans="3:8" ht="15" customHeight="1">
      <c r="C539" s="125" t="s">
        <v>2245</v>
      </c>
      <c r="D539" s="1" t="s">
        <v>159</v>
      </c>
      <c r="E539" s="1">
        <f>'eoy24'!E1305</f>
        <v>0</v>
      </c>
      <c r="G539" s="220">
        <v>5550</v>
      </c>
      <c r="H539" s="125"/>
    </row>
    <row r="540" spans="3:8" ht="15" customHeight="1">
      <c r="C540" s="125" t="s">
        <v>2245</v>
      </c>
      <c r="D540" s="1" t="s">
        <v>159</v>
      </c>
      <c r="E540" s="1">
        <f>'eoy24'!F1305</f>
        <v>0</v>
      </c>
      <c r="G540" s="220">
        <v>5550</v>
      </c>
      <c r="H540" s="125"/>
    </row>
    <row r="541" spans="3:8" ht="15" customHeight="1">
      <c r="C541" s="125" t="s">
        <v>2246</v>
      </c>
      <c r="D541" s="1" t="s">
        <v>134</v>
      </c>
      <c r="E541" s="1">
        <f>'eoy24'!E1282</f>
        <v>296561</v>
      </c>
      <c r="G541" s="220">
        <v>3510</v>
      </c>
      <c r="H541" s="125"/>
    </row>
    <row r="542" spans="3:8" ht="15" customHeight="1">
      <c r="C542" s="125" t="s">
        <v>2246</v>
      </c>
      <c r="D542" s="1" t="s">
        <v>246</v>
      </c>
      <c r="E542" s="1">
        <f>'eoy24'!E1283</f>
        <v>15295</v>
      </c>
      <c r="G542" s="220">
        <v>3520</v>
      </c>
      <c r="H542" s="125"/>
    </row>
    <row r="543" spans="3:8" ht="15" customHeight="1">
      <c r="C543" s="125" t="s">
        <v>2247</v>
      </c>
      <c r="D543" s="1" t="s">
        <v>131</v>
      </c>
      <c r="E543" s="1">
        <f>'eoy24'!E1280</f>
        <v>1318927</v>
      </c>
      <c r="G543" s="220">
        <v>3300</v>
      </c>
      <c r="H543" s="125"/>
    </row>
    <row r="544" spans="3:8" ht="15" customHeight="1">
      <c r="C544" s="125" t="s">
        <v>2247</v>
      </c>
      <c r="D544" s="1" t="s">
        <v>131</v>
      </c>
      <c r="E544" s="1">
        <f>'eoy24'!F1280</f>
        <v>0</v>
      </c>
      <c r="G544" s="220">
        <v>3300</v>
      </c>
      <c r="H544" s="125"/>
    </row>
    <row r="545" spans="3:8" ht="15" customHeight="1">
      <c r="C545" s="125" t="s">
        <v>232</v>
      </c>
      <c r="D545" s="1" t="s">
        <v>174</v>
      </c>
      <c r="E545" s="1">
        <f>'eoy24'!E1318</f>
        <v>0</v>
      </c>
      <c r="G545" s="220">
        <v>9100</v>
      </c>
      <c r="H545" s="125"/>
    </row>
    <row r="546" spans="3:8" ht="15" customHeight="1">
      <c r="C546" s="125" t="s">
        <v>232</v>
      </c>
      <c r="D546" s="1" t="s">
        <v>174</v>
      </c>
      <c r="E546" s="1">
        <f>'eoy24'!F1318</f>
        <v>0</v>
      </c>
      <c r="G546" s="220">
        <v>9100</v>
      </c>
      <c r="H546" s="126"/>
    </row>
    <row r="547" spans="3:8" ht="15" customHeight="1">
      <c r="C547" s="125" t="s">
        <v>232</v>
      </c>
      <c r="D547" s="1" t="s">
        <v>175</v>
      </c>
      <c r="E547" s="1">
        <f>'eoy24'!E1319</f>
        <v>0</v>
      </c>
      <c r="G547" s="220">
        <v>9110</v>
      </c>
      <c r="H547" s="126"/>
    </row>
    <row r="548" spans="3:8" ht="15" customHeight="1">
      <c r="C548" s="125" t="s">
        <v>232</v>
      </c>
      <c r="D548" s="1" t="s">
        <v>175</v>
      </c>
      <c r="E548" s="1">
        <f>'eoy24'!F1319</f>
        <v>401723</v>
      </c>
      <c r="G548" s="220">
        <v>9110</v>
      </c>
      <c r="H548" s="125"/>
    </row>
    <row r="549" spans="3:8" ht="15" customHeight="1">
      <c r="C549" s="125" t="s">
        <v>232</v>
      </c>
      <c r="D549" s="1" t="s">
        <v>176</v>
      </c>
      <c r="E549" s="1">
        <f>'eoy24'!E1320</f>
        <v>0</v>
      </c>
      <c r="G549" s="220">
        <v>9120</v>
      </c>
      <c r="H549" s="125"/>
    </row>
    <row r="550" spans="3:8" ht="15" customHeight="1">
      <c r="C550" s="125" t="s">
        <v>232</v>
      </c>
      <c r="D550" s="1" t="s">
        <v>176</v>
      </c>
      <c r="E550" s="1">
        <f>'eoy24'!F1320</f>
        <v>436987</v>
      </c>
      <c r="G550" s="220">
        <v>9120</v>
      </c>
      <c r="H550" s="125"/>
    </row>
    <row r="551" spans="3:8" ht="15" customHeight="1">
      <c r="C551" s="125" t="s">
        <v>232</v>
      </c>
      <c r="D551" s="1" t="s">
        <v>355</v>
      </c>
      <c r="E551" s="1">
        <f>'eoy24'!E1321</f>
        <v>0</v>
      </c>
      <c r="G551" s="220">
        <v>9120</v>
      </c>
      <c r="H551" s="125"/>
    </row>
    <row r="552" spans="3:8" ht="15" customHeight="1">
      <c r="C552" s="125" t="s">
        <v>232</v>
      </c>
      <c r="D552" s="1" t="s">
        <v>355</v>
      </c>
      <c r="E552" s="1">
        <f>'eoy24'!F1321</f>
        <v>0</v>
      </c>
      <c r="G552" s="220">
        <v>9120</v>
      </c>
      <c r="H552" s="125"/>
    </row>
    <row r="553" spans="3:8" ht="15" customHeight="1">
      <c r="C553" s="125" t="s">
        <v>232</v>
      </c>
      <c r="D553" s="1" t="s">
        <v>179</v>
      </c>
      <c r="E553" s="1">
        <f>'eoy24'!E1323</f>
        <v>0</v>
      </c>
      <c r="G553" s="220">
        <v>9200</v>
      </c>
      <c r="H553" s="125"/>
    </row>
    <row r="554" spans="3:8" ht="15" customHeight="1">
      <c r="C554" s="125" t="s">
        <v>232</v>
      </c>
      <c r="D554" s="1" t="s">
        <v>179</v>
      </c>
      <c r="E554" s="1">
        <f>'eoy24'!F1323</f>
        <v>0</v>
      </c>
      <c r="G554" s="220">
        <v>9200</v>
      </c>
      <c r="H554" s="125"/>
    </row>
    <row r="555" spans="3:8" ht="15" customHeight="1">
      <c r="C555" s="125" t="s">
        <v>232</v>
      </c>
      <c r="D555" s="1" t="s">
        <v>180</v>
      </c>
      <c r="E555" s="1">
        <f>'eoy24'!E1324</f>
        <v>397529</v>
      </c>
      <c r="G555" s="220">
        <v>9300</v>
      </c>
      <c r="H555" s="125"/>
    </row>
    <row r="556" spans="3:8" ht="15" customHeight="1">
      <c r="C556" s="125" t="s">
        <v>232</v>
      </c>
      <c r="D556" s="1" t="s">
        <v>180</v>
      </c>
      <c r="E556" s="1">
        <f>'eoy24'!F1324</f>
        <v>0</v>
      </c>
      <c r="G556" s="220">
        <v>9300</v>
      </c>
      <c r="H556" s="125"/>
    </row>
    <row r="557" spans="3:8" ht="15" customHeight="1">
      <c r="C557" s="125" t="s">
        <v>232</v>
      </c>
      <c r="D557" s="1" t="s">
        <v>181</v>
      </c>
      <c r="E557" s="1">
        <f>'eoy24'!E1325</f>
        <v>190979</v>
      </c>
      <c r="G557" s="220">
        <v>9400</v>
      </c>
      <c r="H557" s="125"/>
    </row>
    <row r="558" spans="3:8" ht="15" customHeight="1">
      <c r="C558" s="125" t="s">
        <v>232</v>
      </c>
      <c r="D558" s="1" t="s">
        <v>181</v>
      </c>
      <c r="E558" s="1">
        <f>'eoy24'!F1325</f>
        <v>0</v>
      </c>
      <c r="G558" s="220">
        <v>9400</v>
      </c>
      <c r="H558" s="125"/>
    </row>
    <row r="559" spans="3:8" ht="15" customHeight="1">
      <c r="C559" s="126" t="s">
        <v>2244</v>
      </c>
      <c r="D559" s="129" t="s">
        <v>349</v>
      </c>
      <c r="E559" s="1">
        <f ca="1">'eoy24'!H831</f>
        <v>0</v>
      </c>
      <c r="G559" s="125"/>
      <c r="H559" s="125"/>
    </row>
    <row r="560" spans="3:8" ht="15" customHeight="1">
      <c r="C560" s="126" t="s">
        <v>2247</v>
      </c>
      <c r="D560" s="129" t="s">
        <v>89</v>
      </c>
      <c r="E560" s="1">
        <f>'eoy24'!H304</f>
        <v>0</v>
      </c>
      <c r="G560" s="125"/>
      <c r="H560" s="125"/>
    </row>
    <row r="561" spans="3:8" ht="15" customHeight="1">
      <c r="C561" s="126" t="s">
        <v>2247</v>
      </c>
      <c r="D561" s="129" t="s">
        <v>186</v>
      </c>
      <c r="E561" s="1">
        <f>'eoy24'!H490</f>
        <v>0</v>
      </c>
      <c r="G561" s="125"/>
      <c r="H561" s="125"/>
    </row>
    <row r="562" spans="3:8" ht="15" customHeight="1">
      <c r="D562" s="1" t="s">
        <v>934</v>
      </c>
      <c r="E562" s="1">
        <f ca="1">SUM(E480:E558)-SUM(E559:E561)</f>
        <v>23742018</v>
      </c>
    </row>
    <row r="564" spans="3:8" ht="15" customHeight="1">
      <c r="C564" s="46" t="s">
        <v>2248</v>
      </c>
      <c r="D564" s="46" t="s">
        <v>2249</v>
      </c>
    </row>
    <row r="565" spans="3:8" ht="15" customHeight="1">
      <c r="C565" s="46"/>
      <c r="D565" s="46"/>
    </row>
    <row r="566" spans="3:8" ht="15" customHeight="1">
      <c r="C566" s="127"/>
      <c r="D566" s="1" t="str">
        <f>'eoy24'!D473</f>
        <v>TOTAL EXPENDITURES BY SCHOOL COMMITTEE</v>
      </c>
      <c r="E566" s="1">
        <f ca="1">'eoy24'!F473</f>
        <v>5520069</v>
      </c>
    </row>
    <row r="567" spans="3:8" ht="15" customHeight="1">
      <c r="C567" s="127"/>
      <c r="D567" s="1" t="str">
        <f>'eoy24'!D538</f>
        <v>TOTAL EXPENDITURES BY CITY OR TOWN</v>
      </c>
      <c r="E567" s="1">
        <f>'eoy24'!F538</f>
        <v>99777</v>
      </c>
    </row>
    <row r="568" spans="3:8" ht="15" customHeight="1">
      <c r="C568" s="127"/>
      <c r="D568" s="1" t="str">
        <f>'eoy24'!D632</f>
        <v>TOTAL GRANT &amp; SPECIAL FUND EXPENDITURES</v>
      </c>
      <c r="E568" s="1">
        <f>'eoy24'!K632</f>
        <v>401966</v>
      </c>
    </row>
    <row r="569" spans="3:8" ht="15" customHeight="1">
      <c r="D569" s="1" t="s">
        <v>934</v>
      </c>
      <c r="E569" s="1">
        <f ca="1">SUM(E566:E568)</f>
        <v>6021812</v>
      </c>
    </row>
    <row r="571" spans="3:8" ht="15" customHeight="1">
      <c r="C571" s="46"/>
      <c r="D571" s="46"/>
    </row>
    <row r="574" spans="3:8" ht="15" customHeight="1">
      <c r="D574" s="555"/>
      <c r="E574" s="83"/>
      <c r="F574" s="83"/>
    </row>
  </sheetData>
  <sheetProtection password="CC7C" sheet="1" objects="1" scenarios="1"/>
  <customSheetViews>
    <customSheetView guid="{EBCA391C-5ACD-495F-8ED1-C69B7D739622}" showAutoFilter="1">
      <pane ySplit="2" topLeftCell="A39" activePane="bottomLeft" state="frozen"/>
      <selection pane="bottomLeft" activeCell="D71" sqref="D71"/>
      <pageMargins left="0" right="0" top="0" bottom="0" header="0" footer="0"/>
      <pageSetup orientation="portrait" horizontalDpi="200" verticalDpi="200" r:id="rId1"/>
      <headerFooter alignWithMargins="0"/>
      <autoFilter ref="B1" xr:uid="{FB69F8D4-6A2E-4F82-807D-02767DA43E3D}"/>
    </customSheetView>
  </customSheetViews>
  <phoneticPr fontId="0" type="noConversion"/>
  <pageMargins left="0.75" right="0.75" top="1" bottom="1" header="0.5" footer="0.5"/>
  <pageSetup orientation="portrait" horizontalDpi="200" verticalDpi="200"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I160"/>
  <sheetViews>
    <sheetView workbookViewId="0">
      <selection activeCell="C7" sqref="C7"/>
    </sheetView>
  </sheetViews>
  <sheetFormatPr defaultColWidth="9.21875" defaultRowHeight="12" customHeight="1"/>
  <cols>
    <col min="1" max="1" width="9.21875" style="477"/>
    <col min="2" max="2" width="20.109375" style="477" customWidth="1"/>
    <col min="3" max="3" width="9.21875" style="477"/>
    <col min="4" max="4" width="10" style="477" customWidth="1"/>
    <col min="5" max="5" width="10.109375" style="477" customWidth="1"/>
    <col min="6" max="6" width="13.77734375" style="477" customWidth="1"/>
    <col min="7" max="7" width="9.21875" style="477"/>
    <col min="10" max="16384" width="9.21875" style="477"/>
  </cols>
  <sheetData>
    <row r="1" spans="1:9" s="475" customFormat="1" ht="12" customHeight="1">
      <c r="A1" s="1"/>
      <c r="B1" s="664" t="s">
        <v>14</v>
      </c>
      <c r="C1" s="664" t="s">
        <v>15</v>
      </c>
      <c r="D1" s="27">
        <f>COUNTA(C2:C249)</f>
        <v>6</v>
      </c>
      <c r="E1" s="495"/>
      <c r="F1" s="1">
        <v>2</v>
      </c>
      <c r="H1" s="1"/>
      <c r="I1" s="487">
        <f>IF(SUM(I2:I151)&gt;0,1,0)</f>
        <v>0</v>
      </c>
    </row>
    <row r="2" spans="1:9" s="475" customFormat="1" ht="12" customHeight="1">
      <c r="A2" s="496">
        <v>1</v>
      </c>
      <c r="B2" s="497" t="str">
        <f>C2&amp; " " &amp;D2</f>
        <v>000 Districtwide</v>
      </c>
      <c r="C2" s="665" t="s">
        <v>1108</v>
      </c>
      <c r="D2" s="665" t="s">
        <v>1109</v>
      </c>
      <c r="E2" s="666" t="s">
        <v>1110</v>
      </c>
      <c r="F2" s="667">
        <v>12</v>
      </c>
      <c r="G2" s="476"/>
      <c r="H2" s="1" t="s">
        <v>19</v>
      </c>
      <c r="I2" s="1">
        <f t="shared" ref="I2:I67" si="0">IF(H2&gt;0,0,1)</f>
        <v>0</v>
      </c>
    </row>
    <row r="3" spans="1:9" s="475" customFormat="1" ht="12" customHeight="1">
      <c r="A3" s="1">
        <v>2</v>
      </c>
      <c r="B3" s="497" t="str">
        <f t="shared" ref="B3:B66" si="1">C3&amp; " " &amp;D3</f>
        <v>010 Lunenburg Primary School</v>
      </c>
      <c r="C3" s="664" t="s">
        <v>1262</v>
      </c>
      <c r="D3" s="668" t="s">
        <v>2250</v>
      </c>
      <c r="E3" s="669" t="s">
        <v>2251</v>
      </c>
      <c r="F3" s="669" t="s">
        <v>2252</v>
      </c>
      <c r="G3" s="476"/>
      <c r="H3" s="1" t="s">
        <v>19</v>
      </c>
      <c r="I3" s="1">
        <f t="shared" si="0"/>
        <v>0</v>
      </c>
    </row>
    <row r="4" spans="1:9" s="475" customFormat="1" ht="12" customHeight="1">
      <c r="A4" s="1">
        <v>3</v>
      </c>
      <c r="B4" s="497" t="str">
        <f t="shared" si="1"/>
        <v>025 Turkey Hill Elementary School</v>
      </c>
      <c r="C4" s="665" t="s">
        <v>1263</v>
      </c>
      <c r="D4" s="665" t="s">
        <v>2253</v>
      </c>
      <c r="E4" s="666" t="s">
        <v>2254</v>
      </c>
      <c r="F4" s="667" t="s">
        <v>2255</v>
      </c>
      <c r="G4" s="476"/>
      <c r="H4" s="1" t="s">
        <v>19</v>
      </c>
      <c r="I4" s="1">
        <f t="shared" si="0"/>
        <v>0</v>
      </c>
    </row>
    <row r="5" spans="1:9" s="475" customFormat="1" ht="12" customHeight="1">
      <c r="A5" s="1">
        <v>4</v>
      </c>
      <c r="B5" s="497" t="str">
        <f t="shared" si="1"/>
        <v>305 Lunenburg Middle School</v>
      </c>
      <c r="C5" s="664" t="s">
        <v>1264</v>
      </c>
      <c r="D5" s="668" t="s">
        <v>2256</v>
      </c>
      <c r="E5" s="669" t="s">
        <v>2257</v>
      </c>
      <c r="F5" s="669" t="s">
        <v>2258</v>
      </c>
      <c r="G5" s="476"/>
      <c r="H5" s="1" t="s">
        <v>19</v>
      </c>
      <c r="I5" s="1">
        <f t="shared" si="0"/>
        <v>0</v>
      </c>
    </row>
    <row r="6" spans="1:9" s="475" customFormat="1" ht="12" customHeight="1">
      <c r="A6" s="1">
        <v>5</v>
      </c>
      <c r="B6" s="497" t="str">
        <f t="shared" si="1"/>
        <v>505 Lunenburg High</v>
      </c>
      <c r="C6" s="665" t="s">
        <v>1265</v>
      </c>
      <c r="D6" s="665" t="s">
        <v>2259</v>
      </c>
      <c r="E6" s="666" t="s">
        <v>2260</v>
      </c>
      <c r="F6" s="667">
        <v>12</v>
      </c>
      <c r="G6" s="476"/>
      <c r="H6" s="1" t="s">
        <v>19</v>
      </c>
      <c r="I6" s="1">
        <f t="shared" si="0"/>
        <v>0</v>
      </c>
    </row>
    <row r="7" spans="1:9" s="475" customFormat="1" ht="12" customHeight="1">
      <c r="A7" s="1">
        <v>6</v>
      </c>
      <c r="B7" s="497" t="str">
        <f t="shared" si="1"/>
        <v>605 Advanced Community Experience Program</v>
      </c>
      <c r="C7" s="664">
        <v>605</v>
      </c>
      <c r="D7" s="668" t="s">
        <v>2261</v>
      </c>
      <c r="E7" s="669" t="s">
        <v>2262</v>
      </c>
      <c r="F7" s="669" t="s">
        <v>2262</v>
      </c>
      <c r="G7" s="476"/>
      <c r="H7" s="1" t="s">
        <v>19</v>
      </c>
      <c r="I7" s="1">
        <f t="shared" si="0"/>
        <v>0</v>
      </c>
    </row>
    <row r="8" spans="1:9" s="475" customFormat="1" ht="12" customHeight="1">
      <c r="A8" s="1">
        <v>7</v>
      </c>
      <c r="B8" s="497" t="str">
        <f t="shared" si="1"/>
        <v xml:space="preserve"> </v>
      </c>
      <c r="C8" s="3"/>
      <c r="D8" s="512"/>
      <c r="E8" s="492"/>
      <c r="F8" s="492"/>
      <c r="G8" s="476"/>
      <c r="H8" s="1" t="s">
        <v>19</v>
      </c>
      <c r="I8" s="1">
        <f t="shared" si="0"/>
        <v>0</v>
      </c>
    </row>
    <row r="9" spans="1:9" s="475" customFormat="1" ht="12" customHeight="1">
      <c r="A9" s="1">
        <v>8</v>
      </c>
      <c r="B9" s="497" t="str">
        <f t="shared" si="1"/>
        <v xml:space="preserve"> </v>
      </c>
      <c r="C9" s="500"/>
      <c r="D9" s="501"/>
      <c r="E9" s="501"/>
      <c r="F9" s="501"/>
      <c r="G9" s="476"/>
      <c r="H9" s="1" t="s">
        <v>19</v>
      </c>
      <c r="I9" s="1">
        <f t="shared" si="0"/>
        <v>0</v>
      </c>
    </row>
    <row r="10" spans="1:9" s="475" customFormat="1" ht="12" customHeight="1">
      <c r="A10" s="1">
        <v>9</v>
      </c>
      <c r="B10" s="497" t="str">
        <f t="shared" si="1"/>
        <v xml:space="preserve"> </v>
      </c>
      <c r="C10" s="500"/>
      <c r="D10" s="501"/>
      <c r="E10" s="501"/>
      <c r="F10" s="501"/>
      <c r="G10" s="476"/>
      <c r="H10" s="1" t="s">
        <v>19</v>
      </c>
      <c r="I10" s="1">
        <f t="shared" si="0"/>
        <v>0</v>
      </c>
    </row>
    <row r="11" spans="1:9" s="475" customFormat="1" ht="12" customHeight="1">
      <c r="A11" s="1">
        <v>10</v>
      </c>
      <c r="B11" s="497" t="str">
        <f t="shared" si="1"/>
        <v xml:space="preserve"> </v>
      </c>
      <c r="C11" s="498"/>
      <c r="D11" s="499"/>
      <c r="E11" s="493"/>
      <c r="F11" s="493"/>
      <c r="G11" s="476"/>
      <c r="H11" s="1" t="s">
        <v>19</v>
      </c>
      <c r="I11" s="1">
        <f t="shared" si="0"/>
        <v>0</v>
      </c>
    </row>
    <row r="12" spans="1:9" s="475" customFormat="1" ht="12" customHeight="1">
      <c r="A12" s="1">
        <v>11</v>
      </c>
      <c r="B12" s="497" t="str">
        <f t="shared" si="1"/>
        <v xml:space="preserve"> </v>
      </c>
      <c r="C12" s="502"/>
      <c r="D12" s="502"/>
      <c r="E12" s="502"/>
      <c r="F12" s="502"/>
      <c r="G12" s="476"/>
      <c r="H12" s="1" t="s">
        <v>19</v>
      </c>
      <c r="I12" s="1">
        <f t="shared" si="0"/>
        <v>0</v>
      </c>
    </row>
    <row r="13" spans="1:9" s="475" customFormat="1" ht="12" customHeight="1">
      <c r="A13" s="1">
        <v>12</v>
      </c>
      <c r="B13" s="497" t="str">
        <f t="shared" si="1"/>
        <v xml:space="preserve"> </v>
      </c>
      <c r="C13" s="502"/>
      <c r="D13" s="502"/>
      <c r="E13" s="502"/>
      <c r="F13" s="502"/>
      <c r="G13" s="476"/>
      <c r="H13" s="1" t="s">
        <v>19</v>
      </c>
      <c r="I13" s="1">
        <f t="shared" si="0"/>
        <v>0</v>
      </c>
    </row>
    <row r="14" spans="1:9" s="475" customFormat="1" ht="12" customHeight="1">
      <c r="A14" s="1">
        <v>13</v>
      </c>
      <c r="B14" s="497" t="str">
        <f t="shared" si="1"/>
        <v xml:space="preserve"> </v>
      </c>
      <c r="C14" s="502"/>
      <c r="D14" s="502"/>
      <c r="E14" s="502"/>
      <c r="F14" s="502"/>
      <c r="G14" s="476"/>
      <c r="H14" s="1" t="s">
        <v>19</v>
      </c>
      <c r="I14" s="1">
        <f t="shared" si="0"/>
        <v>0</v>
      </c>
    </row>
    <row r="15" spans="1:9" s="475" customFormat="1" ht="12" customHeight="1">
      <c r="A15" s="1">
        <v>14</v>
      </c>
      <c r="B15" s="497" t="str">
        <f t="shared" si="1"/>
        <v xml:space="preserve"> </v>
      </c>
      <c r="C15" s="502"/>
      <c r="D15" s="502"/>
      <c r="E15" s="502"/>
      <c r="F15" s="502"/>
      <c r="G15" s="476"/>
      <c r="H15" s="1" t="s">
        <v>19</v>
      </c>
      <c r="I15" s="1">
        <f t="shared" si="0"/>
        <v>0</v>
      </c>
    </row>
    <row r="16" spans="1:9" s="475" customFormat="1" ht="12" customHeight="1">
      <c r="A16" s="1">
        <v>15</v>
      </c>
      <c r="B16" s="497" t="str">
        <f t="shared" si="1"/>
        <v xml:space="preserve"> </v>
      </c>
      <c r="C16" s="502"/>
      <c r="D16" s="502"/>
      <c r="E16" s="502"/>
      <c r="F16" s="502"/>
      <c r="G16" s="476"/>
      <c r="H16" s="1" t="s">
        <v>19</v>
      </c>
      <c r="I16" s="1">
        <f t="shared" si="0"/>
        <v>0</v>
      </c>
    </row>
    <row r="17" spans="1:9" s="475" customFormat="1" ht="12" customHeight="1">
      <c r="A17" s="1">
        <v>16</v>
      </c>
      <c r="B17" s="497" t="str">
        <f t="shared" si="1"/>
        <v xml:space="preserve"> </v>
      </c>
      <c r="C17" s="502"/>
      <c r="D17" s="502"/>
      <c r="E17" s="502"/>
      <c r="F17" s="502"/>
      <c r="G17" s="476"/>
      <c r="H17" s="1" t="s">
        <v>19</v>
      </c>
      <c r="I17" s="1">
        <f t="shared" si="0"/>
        <v>0</v>
      </c>
    </row>
    <row r="18" spans="1:9" s="475" customFormat="1" ht="12" customHeight="1">
      <c r="A18" s="1">
        <v>17</v>
      </c>
      <c r="B18" s="497" t="str">
        <f t="shared" si="1"/>
        <v xml:space="preserve"> </v>
      </c>
      <c r="C18" s="502"/>
      <c r="D18" s="502"/>
      <c r="E18" s="502"/>
      <c r="F18" s="502"/>
      <c r="G18" s="476"/>
      <c r="H18" s="1" t="s">
        <v>19</v>
      </c>
      <c r="I18" s="1">
        <f t="shared" si="0"/>
        <v>0</v>
      </c>
    </row>
    <row r="19" spans="1:9" s="475" customFormat="1" ht="12" customHeight="1">
      <c r="A19" s="1">
        <v>18</v>
      </c>
      <c r="B19" s="497" t="str">
        <f t="shared" si="1"/>
        <v xml:space="preserve"> </v>
      </c>
      <c r="C19" s="502"/>
      <c r="D19" s="502"/>
      <c r="E19" s="502"/>
      <c r="F19" s="502"/>
      <c r="G19" s="476"/>
      <c r="H19" s="1" t="s">
        <v>19</v>
      </c>
      <c r="I19" s="1">
        <f t="shared" si="0"/>
        <v>0</v>
      </c>
    </row>
    <row r="20" spans="1:9" s="475" customFormat="1" ht="12" customHeight="1">
      <c r="A20" s="1">
        <v>19</v>
      </c>
      <c r="B20" s="497" t="str">
        <f t="shared" si="1"/>
        <v xml:space="preserve"> </v>
      </c>
      <c r="C20" s="502"/>
      <c r="D20" s="502"/>
      <c r="E20" s="502"/>
      <c r="F20" s="502"/>
      <c r="G20" s="476"/>
      <c r="H20" s="1" t="s">
        <v>19</v>
      </c>
      <c r="I20" s="1">
        <f t="shared" si="0"/>
        <v>0</v>
      </c>
    </row>
    <row r="21" spans="1:9" s="475" customFormat="1" ht="12" customHeight="1">
      <c r="A21" s="1">
        <v>20</v>
      </c>
      <c r="B21" s="497" t="str">
        <f t="shared" si="1"/>
        <v xml:space="preserve"> </v>
      </c>
      <c r="C21" s="502"/>
      <c r="D21" s="502"/>
      <c r="E21" s="502"/>
      <c r="F21" s="502"/>
      <c r="G21" s="476"/>
      <c r="H21" s="1" t="s">
        <v>19</v>
      </c>
      <c r="I21" s="1">
        <f t="shared" si="0"/>
        <v>0</v>
      </c>
    </row>
    <row r="22" spans="1:9" s="475" customFormat="1" ht="12" customHeight="1">
      <c r="A22" s="1">
        <v>21</v>
      </c>
      <c r="B22" s="497" t="str">
        <f t="shared" si="1"/>
        <v xml:space="preserve"> </v>
      </c>
      <c r="C22" s="502"/>
      <c r="D22" s="502"/>
      <c r="E22" s="502"/>
      <c r="F22" s="502"/>
      <c r="G22" s="476"/>
      <c r="H22" s="1" t="s">
        <v>19</v>
      </c>
      <c r="I22" s="1">
        <f t="shared" si="0"/>
        <v>0</v>
      </c>
    </row>
    <row r="23" spans="1:9" s="475" customFormat="1" ht="12" customHeight="1">
      <c r="A23" s="1">
        <v>22</v>
      </c>
      <c r="B23" s="497" t="str">
        <f t="shared" si="1"/>
        <v xml:space="preserve"> </v>
      </c>
      <c r="C23" s="502"/>
      <c r="D23" s="502"/>
      <c r="E23" s="502"/>
      <c r="F23" s="502"/>
      <c r="G23" s="476"/>
      <c r="H23" s="1" t="s">
        <v>19</v>
      </c>
      <c r="I23" s="1">
        <f t="shared" si="0"/>
        <v>0</v>
      </c>
    </row>
    <row r="24" spans="1:9" s="475" customFormat="1" ht="12" customHeight="1">
      <c r="A24" s="1">
        <v>23</v>
      </c>
      <c r="B24" s="497" t="str">
        <f t="shared" si="1"/>
        <v xml:space="preserve"> </v>
      </c>
      <c r="C24" s="502"/>
      <c r="D24" s="502"/>
      <c r="E24" s="502"/>
      <c r="F24" s="502"/>
      <c r="G24" s="476"/>
      <c r="H24" s="1" t="s">
        <v>19</v>
      </c>
      <c r="I24" s="1">
        <f t="shared" si="0"/>
        <v>0</v>
      </c>
    </row>
    <row r="25" spans="1:9" s="475" customFormat="1" ht="12" customHeight="1">
      <c r="A25" s="1">
        <v>24</v>
      </c>
      <c r="B25" s="497" t="str">
        <f t="shared" si="1"/>
        <v xml:space="preserve"> </v>
      </c>
      <c r="C25" s="502"/>
      <c r="D25" s="502"/>
      <c r="E25" s="502"/>
      <c r="F25" s="502"/>
      <c r="G25" s="476"/>
      <c r="H25" s="1" t="s">
        <v>19</v>
      </c>
      <c r="I25" s="1">
        <f t="shared" si="0"/>
        <v>0</v>
      </c>
    </row>
    <row r="26" spans="1:9" s="475" customFormat="1" ht="12" customHeight="1">
      <c r="A26" s="1">
        <v>25</v>
      </c>
      <c r="B26" s="497" t="str">
        <f t="shared" si="1"/>
        <v xml:space="preserve"> </v>
      </c>
      <c r="C26" s="502"/>
      <c r="D26" s="502"/>
      <c r="E26" s="502"/>
      <c r="F26" s="502"/>
      <c r="G26" s="476"/>
      <c r="H26" s="1" t="s">
        <v>19</v>
      </c>
      <c r="I26" s="1">
        <f t="shared" si="0"/>
        <v>0</v>
      </c>
    </row>
    <row r="27" spans="1:9" s="475" customFormat="1" ht="12" customHeight="1">
      <c r="A27" s="1">
        <v>26</v>
      </c>
      <c r="B27" s="497" t="str">
        <f t="shared" si="1"/>
        <v xml:space="preserve"> </v>
      </c>
      <c r="C27" s="502"/>
      <c r="D27" s="502"/>
      <c r="E27" s="502"/>
      <c r="F27" s="502"/>
      <c r="G27" s="476"/>
      <c r="H27" s="1" t="s">
        <v>19</v>
      </c>
      <c r="I27" s="1">
        <f t="shared" si="0"/>
        <v>0</v>
      </c>
    </row>
    <row r="28" spans="1:9" s="475" customFormat="1" ht="12" customHeight="1">
      <c r="A28" s="1">
        <v>27</v>
      </c>
      <c r="B28" s="497" t="str">
        <f t="shared" si="1"/>
        <v xml:space="preserve"> </v>
      </c>
      <c r="C28" s="502"/>
      <c r="D28" s="502"/>
      <c r="E28" s="502"/>
      <c r="F28" s="502"/>
      <c r="G28" s="476"/>
      <c r="H28" s="1" t="s">
        <v>19</v>
      </c>
      <c r="I28" s="1">
        <f t="shared" si="0"/>
        <v>0</v>
      </c>
    </row>
    <row r="29" spans="1:9" s="475" customFormat="1" ht="12" customHeight="1">
      <c r="A29" s="1">
        <v>28</v>
      </c>
      <c r="B29" s="497" t="str">
        <f t="shared" si="1"/>
        <v xml:space="preserve"> </v>
      </c>
      <c r="C29" s="502"/>
      <c r="D29" s="502"/>
      <c r="E29" s="502"/>
      <c r="F29" s="502"/>
      <c r="G29" s="476"/>
      <c r="H29" s="1" t="s">
        <v>19</v>
      </c>
      <c r="I29" s="1">
        <f t="shared" si="0"/>
        <v>0</v>
      </c>
    </row>
    <row r="30" spans="1:9" s="475" customFormat="1" ht="12" customHeight="1">
      <c r="A30" s="1">
        <v>29</v>
      </c>
      <c r="B30" s="497" t="str">
        <f t="shared" si="1"/>
        <v xml:space="preserve"> </v>
      </c>
      <c r="C30" s="502"/>
      <c r="D30" s="502"/>
      <c r="E30" s="502"/>
      <c r="F30" s="502"/>
      <c r="G30" s="476"/>
      <c r="H30" s="1" t="s">
        <v>19</v>
      </c>
      <c r="I30" s="1">
        <f t="shared" si="0"/>
        <v>0</v>
      </c>
    </row>
    <row r="31" spans="1:9" s="475" customFormat="1" ht="12" customHeight="1">
      <c r="A31" s="1">
        <v>30</v>
      </c>
      <c r="B31" s="497" t="str">
        <f t="shared" si="1"/>
        <v xml:space="preserve"> </v>
      </c>
      <c r="C31" s="502"/>
      <c r="D31" s="502"/>
      <c r="E31" s="502"/>
      <c r="F31" s="502"/>
      <c r="G31" s="476"/>
      <c r="H31" s="1" t="s">
        <v>19</v>
      </c>
      <c r="I31" s="1">
        <f t="shared" si="0"/>
        <v>0</v>
      </c>
    </row>
    <row r="32" spans="1:9" s="475" customFormat="1" ht="12" customHeight="1">
      <c r="A32" s="1">
        <v>31</v>
      </c>
      <c r="B32" s="497" t="str">
        <f t="shared" si="1"/>
        <v xml:space="preserve"> </v>
      </c>
      <c r="C32" s="502"/>
      <c r="D32" s="502"/>
      <c r="E32" s="502"/>
      <c r="F32" s="502"/>
      <c r="G32" s="476"/>
      <c r="H32" s="1" t="s">
        <v>19</v>
      </c>
      <c r="I32" s="1">
        <f t="shared" si="0"/>
        <v>0</v>
      </c>
    </row>
    <row r="33" spans="1:9" s="475" customFormat="1" ht="12" customHeight="1">
      <c r="A33" s="1">
        <v>32</v>
      </c>
      <c r="B33" s="497" t="str">
        <f t="shared" si="1"/>
        <v xml:space="preserve"> </v>
      </c>
      <c r="C33" s="502"/>
      <c r="D33" s="502"/>
      <c r="E33" s="502"/>
      <c r="F33" s="502"/>
      <c r="G33" s="476"/>
      <c r="H33" s="1" t="s">
        <v>19</v>
      </c>
      <c r="I33" s="1">
        <f t="shared" si="0"/>
        <v>0</v>
      </c>
    </row>
    <row r="34" spans="1:9" s="475" customFormat="1" ht="12" customHeight="1">
      <c r="A34" s="1">
        <v>33</v>
      </c>
      <c r="B34" s="497" t="str">
        <f t="shared" si="1"/>
        <v xml:space="preserve"> </v>
      </c>
      <c r="C34" s="502"/>
      <c r="D34" s="502"/>
      <c r="E34" s="502"/>
      <c r="F34" s="502"/>
      <c r="G34" s="476"/>
      <c r="H34" s="1" t="s">
        <v>19</v>
      </c>
      <c r="I34" s="1">
        <f t="shared" si="0"/>
        <v>0</v>
      </c>
    </row>
    <row r="35" spans="1:9" s="475" customFormat="1" ht="12" customHeight="1">
      <c r="A35" s="1">
        <v>34</v>
      </c>
      <c r="B35" s="497" t="str">
        <f t="shared" si="1"/>
        <v xml:space="preserve"> </v>
      </c>
      <c r="C35" s="502"/>
      <c r="D35" s="502"/>
      <c r="E35" s="502"/>
      <c r="F35" s="502"/>
      <c r="G35" s="476"/>
      <c r="H35" s="1" t="s">
        <v>19</v>
      </c>
      <c r="I35" s="1">
        <f t="shared" si="0"/>
        <v>0</v>
      </c>
    </row>
    <row r="36" spans="1:9" s="475" customFormat="1" ht="12" customHeight="1">
      <c r="A36" s="1">
        <v>35</v>
      </c>
      <c r="B36" s="497" t="str">
        <f t="shared" si="1"/>
        <v xml:space="preserve"> </v>
      </c>
      <c r="C36" s="502"/>
      <c r="D36" s="502"/>
      <c r="E36" s="502"/>
      <c r="F36" s="502"/>
      <c r="G36" s="476"/>
      <c r="H36" s="1" t="s">
        <v>19</v>
      </c>
      <c r="I36" s="1">
        <f t="shared" si="0"/>
        <v>0</v>
      </c>
    </row>
    <row r="37" spans="1:9" s="475" customFormat="1" ht="12" customHeight="1">
      <c r="A37" s="1">
        <v>36</v>
      </c>
      <c r="B37" s="497" t="str">
        <f t="shared" si="1"/>
        <v xml:space="preserve"> </v>
      </c>
      <c r="C37" s="502"/>
      <c r="D37" s="502"/>
      <c r="E37" s="502"/>
      <c r="F37" s="502"/>
      <c r="G37" s="476"/>
      <c r="H37" s="1" t="s">
        <v>19</v>
      </c>
      <c r="I37" s="1">
        <f t="shared" si="0"/>
        <v>0</v>
      </c>
    </row>
    <row r="38" spans="1:9" s="475" customFormat="1" ht="12" customHeight="1">
      <c r="A38" s="1">
        <v>37</v>
      </c>
      <c r="B38" s="497" t="str">
        <f t="shared" si="1"/>
        <v xml:space="preserve"> </v>
      </c>
      <c r="C38" s="502"/>
      <c r="D38" s="502"/>
      <c r="E38" s="502"/>
      <c r="F38" s="502"/>
      <c r="G38" s="476"/>
      <c r="H38" s="1" t="s">
        <v>19</v>
      </c>
      <c r="I38" s="1">
        <f t="shared" si="0"/>
        <v>0</v>
      </c>
    </row>
    <row r="39" spans="1:9" s="475" customFormat="1" ht="12" customHeight="1">
      <c r="A39" s="1">
        <v>38</v>
      </c>
      <c r="B39" s="497" t="str">
        <f t="shared" si="1"/>
        <v xml:space="preserve"> </v>
      </c>
      <c r="C39" s="502"/>
      <c r="D39" s="502"/>
      <c r="E39" s="502"/>
      <c r="F39" s="502"/>
      <c r="G39" s="476"/>
      <c r="H39" s="1" t="s">
        <v>19</v>
      </c>
      <c r="I39" s="1">
        <f t="shared" si="0"/>
        <v>0</v>
      </c>
    </row>
    <row r="40" spans="1:9" s="475" customFormat="1" ht="12" customHeight="1">
      <c r="A40" s="1">
        <v>39</v>
      </c>
      <c r="B40" s="497" t="str">
        <f t="shared" si="1"/>
        <v xml:space="preserve"> </v>
      </c>
      <c r="C40" s="502"/>
      <c r="D40" s="502"/>
      <c r="E40" s="502"/>
      <c r="F40" s="502"/>
      <c r="G40" s="476"/>
      <c r="H40" s="1" t="s">
        <v>19</v>
      </c>
      <c r="I40" s="1">
        <f t="shared" si="0"/>
        <v>0</v>
      </c>
    </row>
    <row r="41" spans="1:9" s="475" customFormat="1" ht="12" customHeight="1">
      <c r="A41" s="1">
        <v>40</v>
      </c>
      <c r="B41" s="497" t="str">
        <f t="shared" si="1"/>
        <v xml:space="preserve"> </v>
      </c>
      <c r="C41" s="502"/>
      <c r="D41" s="502"/>
      <c r="E41" s="502"/>
      <c r="F41" s="502"/>
      <c r="G41" s="476"/>
      <c r="H41" s="1" t="s">
        <v>19</v>
      </c>
      <c r="I41" s="1">
        <f t="shared" si="0"/>
        <v>0</v>
      </c>
    </row>
    <row r="42" spans="1:9" s="475" customFormat="1" ht="12" customHeight="1">
      <c r="A42" s="1">
        <v>41</v>
      </c>
      <c r="B42" s="497" t="str">
        <f t="shared" si="1"/>
        <v xml:space="preserve"> </v>
      </c>
      <c r="C42" s="502"/>
      <c r="D42" s="502"/>
      <c r="E42" s="502"/>
      <c r="F42" s="502"/>
      <c r="G42" s="476"/>
      <c r="H42" s="1" t="s">
        <v>19</v>
      </c>
      <c r="I42" s="1">
        <f t="shared" si="0"/>
        <v>0</v>
      </c>
    </row>
    <row r="43" spans="1:9" s="475" customFormat="1" ht="12" customHeight="1">
      <c r="A43" s="1">
        <v>42</v>
      </c>
      <c r="B43" s="497" t="str">
        <f t="shared" si="1"/>
        <v xml:space="preserve"> </v>
      </c>
      <c r="C43" s="502"/>
      <c r="D43" s="502"/>
      <c r="E43" s="502"/>
      <c r="F43" s="502"/>
      <c r="G43" s="476"/>
      <c r="H43" s="1" t="s">
        <v>19</v>
      </c>
      <c r="I43" s="1">
        <f t="shared" si="0"/>
        <v>0</v>
      </c>
    </row>
    <row r="44" spans="1:9" s="475" customFormat="1" ht="12" customHeight="1">
      <c r="A44" s="1">
        <v>43</v>
      </c>
      <c r="B44" s="497" t="str">
        <f t="shared" si="1"/>
        <v xml:space="preserve"> </v>
      </c>
      <c r="C44" s="502"/>
      <c r="D44" s="502"/>
      <c r="E44" s="502"/>
      <c r="F44" s="502"/>
      <c r="G44" s="476"/>
      <c r="H44" s="1" t="s">
        <v>19</v>
      </c>
      <c r="I44" s="1">
        <f t="shared" si="0"/>
        <v>0</v>
      </c>
    </row>
    <row r="45" spans="1:9" s="475" customFormat="1" ht="12" customHeight="1">
      <c r="A45" s="1">
        <v>44</v>
      </c>
      <c r="B45" s="497" t="str">
        <f t="shared" si="1"/>
        <v xml:space="preserve"> </v>
      </c>
      <c r="C45" s="502"/>
      <c r="D45" s="502"/>
      <c r="E45" s="502"/>
      <c r="F45" s="502"/>
      <c r="G45" s="476"/>
      <c r="H45" s="1" t="s">
        <v>19</v>
      </c>
      <c r="I45" s="1">
        <f t="shared" si="0"/>
        <v>0</v>
      </c>
    </row>
    <row r="46" spans="1:9" s="475" customFormat="1" ht="12" customHeight="1">
      <c r="A46" s="1">
        <v>45</v>
      </c>
      <c r="B46" s="497" t="str">
        <f t="shared" si="1"/>
        <v xml:space="preserve"> </v>
      </c>
      <c r="C46" s="502"/>
      <c r="D46" s="502"/>
      <c r="E46" s="502"/>
      <c r="F46" s="502"/>
      <c r="G46" s="476"/>
      <c r="H46" s="1" t="s">
        <v>19</v>
      </c>
      <c r="I46" s="1">
        <f t="shared" si="0"/>
        <v>0</v>
      </c>
    </row>
    <row r="47" spans="1:9" s="475" customFormat="1" ht="12" customHeight="1">
      <c r="A47" s="1">
        <v>46</v>
      </c>
      <c r="B47" s="497" t="str">
        <f t="shared" si="1"/>
        <v xml:space="preserve"> </v>
      </c>
      <c r="C47" s="502"/>
      <c r="D47" s="502"/>
      <c r="E47" s="502"/>
      <c r="F47" s="502"/>
      <c r="G47" s="476"/>
      <c r="H47" s="1" t="s">
        <v>19</v>
      </c>
      <c r="I47" s="1">
        <f t="shared" si="0"/>
        <v>0</v>
      </c>
    </row>
    <row r="48" spans="1:9" s="475" customFormat="1" ht="12" customHeight="1">
      <c r="A48" s="1">
        <v>47</v>
      </c>
      <c r="B48" s="497" t="str">
        <f t="shared" si="1"/>
        <v xml:space="preserve"> </v>
      </c>
      <c r="C48" s="502"/>
      <c r="D48" s="502"/>
      <c r="E48" s="502"/>
      <c r="F48" s="502"/>
      <c r="G48" s="476"/>
      <c r="H48" s="1" t="s">
        <v>19</v>
      </c>
      <c r="I48" s="1">
        <f t="shared" si="0"/>
        <v>0</v>
      </c>
    </row>
    <row r="49" spans="1:9" s="475" customFormat="1" ht="12" customHeight="1">
      <c r="A49" s="1">
        <v>48</v>
      </c>
      <c r="B49" s="497" t="str">
        <f t="shared" si="1"/>
        <v xml:space="preserve"> </v>
      </c>
      <c r="C49" s="502"/>
      <c r="D49" s="502"/>
      <c r="E49" s="502"/>
      <c r="F49" s="502"/>
      <c r="G49" s="476"/>
      <c r="H49" s="1" t="s">
        <v>19</v>
      </c>
      <c r="I49" s="1">
        <f t="shared" si="0"/>
        <v>0</v>
      </c>
    </row>
    <row r="50" spans="1:9" s="475" customFormat="1" ht="12" customHeight="1">
      <c r="A50" s="1">
        <v>49</v>
      </c>
      <c r="B50" s="497" t="str">
        <f t="shared" si="1"/>
        <v xml:space="preserve"> </v>
      </c>
      <c r="C50" s="502"/>
      <c r="D50" s="502"/>
      <c r="E50" s="502"/>
      <c r="F50" s="502"/>
      <c r="G50" s="476"/>
      <c r="H50" s="1" t="s">
        <v>19</v>
      </c>
      <c r="I50" s="1">
        <f t="shared" si="0"/>
        <v>0</v>
      </c>
    </row>
    <row r="51" spans="1:9" s="475" customFormat="1" ht="12" customHeight="1">
      <c r="A51" s="1">
        <v>50</v>
      </c>
      <c r="B51" s="497" t="str">
        <f t="shared" si="1"/>
        <v xml:space="preserve"> </v>
      </c>
      <c r="C51" s="502"/>
      <c r="D51" s="502"/>
      <c r="E51" s="502"/>
      <c r="F51" s="502"/>
      <c r="G51" s="476"/>
      <c r="H51" s="1" t="s">
        <v>19</v>
      </c>
      <c r="I51" s="1">
        <f t="shared" si="0"/>
        <v>0</v>
      </c>
    </row>
    <row r="52" spans="1:9" s="475" customFormat="1" ht="12" customHeight="1">
      <c r="A52" s="1">
        <v>51</v>
      </c>
      <c r="B52" s="497" t="str">
        <f t="shared" si="1"/>
        <v xml:space="preserve"> </v>
      </c>
      <c r="C52" s="502"/>
      <c r="D52" s="502"/>
      <c r="E52" s="502"/>
      <c r="F52" s="502"/>
      <c r="G52" s="476"/>
      <c r="H52" s="1" t="s">
        <v>19</v>
      </c>
      <c r="I52" s="1">
        <f t="shared" si="0"/>
        <v>0</v>
      </c>
    </row>
    <row r="53" spans="1:9" s="475" customFormat="1" ht="12" customHeight="1">
      <c r="A53" s="1">
        <v>52</v>
      </c>
      <c r="B53" s="497" t="str">
        <f t="shared" si="1"/>
        <v xml:space="preserve"> </v>
      </c>
      <c r="C53" s="502"/>
      <c r="D53" s="502"/>
      <c r="E53" s="502"/>
      <c r="F53" s="502"/>
      <c r="G53" s="476"/>
      <c r="H53" s="1" t="s">
        <v>19</v>
      </c>
      <c r="I53" s="1">
        <f t="shared" si="0"/>
        <v>0</v>
      </c>
    </row>
    <row r="54" spans="1:9" s="475" customFormat="1" ht="12" customHeight="1">
      <c r="A54" s="1">
        <v>53</v>
      </c>
      <c r="B54" s="497" t="str">
        <f t="shared" si="1"/>
        <v xml:space="preserve"> </v>
      </c>
      <c r="C54" s="502"/>
      <c r="D54" s="502"/>
      <c r="E54" s="502"/>
      <c r="F54" s="502"/>
      <c r="G54" s="476"/>
      <c r="H54" s="1" t="s">
        <v>19</v>
      </c>
      <c r="I54" s="1">
        <f t="shared" si="0"/>
        <v>0</v>
      </c>
    </row>
    <row r="55" spans="1:9" s="475" customFormat="1" ht="12" customHeight="1">
      <c r="A55" s="1">
        <v>54</v>
      </c>
      <c r="B55" s="497" t="str">
        <f t="shared" si="1"/>
        <v xml:space="preserve"> </v>
      </c>
      <c r="C55" s="502"/>
      <c r="D55" s="502"/>
      <c r="E55" s="502"/>
      <c r="F55" s="502"/>
      <c r="G55" s="476"/>
      <c r="H55" s="1" t="s">
        <v>19</v>
      </c>
      <c r="I55" s="1">
        <f t="shared" si="0"/>
        <v>0</v>
      </c>
    </row>
    <row r="56" spans="1:9" s="475" customFormat="1" ht="12" customHeight="1">
      <c r="A56" s="1">
        <v>55</v>
      </c>
      <c r="B56" s="497" t="str">
        <f t="shared" si="1"/>
        <v xml:space="preserve"> </v>
      </c>
      <c r="C56" s="502"/>
      <c r="D56" s="502"/>
      <c r="E56" s="502"/>
      <c r="F56" s="502"/>
      <c r="G56" s="476"/>
      <c r="H56" s="1" t="s">
        <v>19</v>
      </c>
      <c r="I56" s="1">
        <f t="shared" si="0"/>
        <v>0</v>
      </c>
    </row>
    <row r="57" spans="1:9" s="475" customFormat="1" ht="12" customHeight="1">
      <c r="A57" s="1">
        <v>56</v>
      </c>
      <c r="B57" s="497" t="str">
        <f t="shared" si="1"/>
        <v xml:space="preserve"> </v>
      </c>
      <c r="C57" s="502"/>
      <c r="D57" s="502"/>
      <c r="E57" s="502"/>
      <c r="F57" s="502"/>
      <c r="G57" s="476"/>
      <c r="H57" s="1" t="s">
        <v>19</v>
      </c>
      <c r="I57" s="1">
        <f t="shared" si="0"/>
        <v>0</v>
      </c>
    </row>
    <row r="58" spans="1:9" s="475" customFormat="1" ht="12" customHeight="1">
      <c r="A58" s="1">
        <v>57</v>
      </c>
      <c r="B58" s="497" t="str">
        <f t="shared" si="1"/>
        <v xml:space="preserve"> </v>
      </c>
      <c r="C58" s="502"/>
      <c r="D58" s="502"/>
      <c r="E58" s="502"/>
      <c r="F58" s="502"/>
      <c r="G58" s="476"/>
      <c r="H58" s="1" t="s">
        <v>19</v>
      </c>
      <c r="I58" s="1">
        <f t="shared" si="0"/>
        <v>0</v>
      </c>
    </row>
    <row r="59" spans="1:9" s="475" customFormat="1" ht="12" customHeight="1">
      <c r="A59" s="1">
        <v>58</v>
      </c>
      <c r="B59" s="497" t="str">
        <f t="shared" si="1"/>
        <v xml:space="preserve"> </v>
      </c>
      <c r="C59" s="502"/>
      <c r="D59" s="502"/>
      <c r="E59" s="502"/>
      <c r="F59" s="502"/>
      <c r="G59" s="476"/>
      <c r="H59" s="1" t="s">
        <v>19</v>
      </c>
      <c r="I59" s="1">
        <f t="shared" si="0"/>
        <v>0</v>
      </c>
    </row>
    <row r="60" spans="1:9" s="475" customFormat="1" ht="12" customHeight="1">
      <c r="A60" s="1">
        <v>59</v>
      </c>
      <c r="B60" s="497" t="str">
        <f t="shared" si="1"/>
        <v xml:space="preserve"> </v>
      </c>
      <c r="C60" s="502"/>
      <c r="D60" s="502"/>
      <c r="E60" s="502"/>
      <c r="F60" s="502"/>
      <c r="G60" s="476"/>
      <c r="H60" s="1" t="s">
        <v>19</v>
      </c>
      <c r="I60" s="1">
        <f t="shared" si="0"/>
        <v>0</v>
      </c>
    </row>
    <row r="61" spans="1:9" s="475" customFormat="1" ht="12" customHeight="1">
      <c r="A61" s="1">
        <v>60</v>
      </c>
      <c r="B61" s="497" t="str">
        <f t="shared" si="1"/>
        <v xml:space="preserve"> </v>
      </c>
      <c r="C61" s="502"/>
      <c r="D61" s="502"/>
      <c r="E61" s="502"/>
      <c r="F61" s="502"/>
      <c r="G61" s="476"/>
      <c r="H61" s="1" t="s">
        <v>19</v>
      </c>
      <c r="I61" s="1">
        <f t="shared" si="0"/>
        <v>0</v>
      </c>
    </row>
    <row r="62" spans="1:9" s="475" customFormat="1" ht="12" customHeight="1">
      <c r="A62" s="1">
        <v>61</v>
      </c>
      <c r="B62" s="497" t="str">
        <f t="shared" si="1"/>
        <v xml:space="preserve"> </v>
      </c>
      <c r="C62" s="502"/>
      <c r="D62" s="502"/>
      <c r="E62" s="502"/>
      <c r="F62" s="502"/>
      <c r="G62" s="476"/>
      <c r="H62" s="1" t="s">
        <v>19</v>
      </c>
      <c r="I62" s="1">
        <f t="shared" si="0"/>
        <v>0</v>
      </c>
    </row>
    <row r="63" spans="1:9" s="475" customFormat="1" ht="12" customHeight="1">
      <c r="A63" s="1">
        <v>62</v>
      </c>
      <c r="B63" s="497" t="str">
        <f t="shared" si="1"/>
        <v xml:space="preserve"> </v>
      </c>
      <c r="C63" s="502"/>
      <c r="D63" s="502"/>
      <c r="E63" s="502"/>
      <c r="F63" s="502"/>
      <c r="G63" s="476"/>
      <c r="H63" s="1" t="s">
        <v>19</v>
      </c>
      <c r="I63" s="1">
        <f t="shared" si="0"/>
        <v>0</v>
      </c>
    </row>
    <row r="64" spans="1:9" s="475" customFormat="1" ht="12" customHeight="1">
      <c r="A64" s="1">
        <v>63</v>
      </c>
      <c r="B64" s="497" t="str">
        <f t="shared" si="1"/>
        <v xml:space="preserve"> </v>
      </c>
      <c r="C64" s="502"/>
      <c r="D64" s="502"/>
      <c r="E64" s="502"/>
      <c r="F64" s="502"/>
      <c r="G64" s="476"/>
      <c r="H64" s="1" t="s">
        <v>19</v>
      </c>
      <c r="I64" s="1">
        <f t="shared" si="0"/>
        <v>0</v>
      </c>
    </row>
    <row r="65" spans="1:9" s="475" customFormat="1" ht="12" customHeight="1">
      <c r="A65" s="1">
        <v>64</v>
      </c>
      <c r="B65" s="497" t="str">
        <f t="shared" si="1"/>
        <v xml:space="preserve"> </v>
      </c>
      <c r="C65" s="502"/>
      <c r="D65" s="502"/>
      <c r="E65" s="502"/>
      <c r="F65" s="502"/>
      <c r="G65" s="476"/>
      <c r="H65" s="1" t="s">
        <v>19</v>
      </c>
      <c r="I65" s="1">
        <f t="shared" si="0"/>
        <v>0</v>
      </c>
    </row>
    <row r="66" spans="1:9" s="475" customFormat="1" ht="12" customHeight="1">
      <c r="A66" s="1">
        <v>65</v>
      </c>
      <c r="B66" s="497" t="str">
        <f t="shared" si="1"/>
        <v xml:space="preserve"> </v>
      </c>
      <c r="C66" s="502"/>
      <c r="D66" s="502"/>
      <c r="E66" s="502"/>
      <c r="F66" s="502"/>
      <c r="G66" s="476"/>
      <c r="H66" s="1" t="s">
        <v>19</v>
      </c>
      <c r="I66" s="1">
        <f t="shared" si="0"/>
        <v>0</v>
      </c>
    </row>
    <row r="67" spans="1:9" s="475" customFormat="1" ht="12" customHeight="1">
      <c r="A67" s="1">
        <v>66</v>
      </c>
      <c r="B67" s="497" t="str">
        <f t="shared" ref="B67:B130" si="2">C67&amp; " " &amp;D67</f>
        <v xml:space="preserve"> </v>
      </c>
      <c r="C67" s="502"/>
      <c r="D67" s="502"/>
      <c r="E67" s="502"/>
      <c r="F67" s="502"/>
      <c r="G67" s="476"/>
      <c r="H67" s="1" t="s">
        <v>19</v>
      </c>
      <c r="I67" s="1">
        <f t="shared" si="0"/>
        <v>0</v>
      </c>
    </row>
    <row r="68" spans="1:9" s="475" customFormat="1" ht="12" customHeight="1">
      <c r="A68" s="1">
        <v>67</v>
      </c>
      <c r="B68" s="497" t="str">
        <f t="shared" si="2"/>
        <v xml:space="preserve"> </v>
      </c>
      <c r="C68" s="502"/>
      <c r="D68" s="502"/>
      <c r="E68" s="502"/>
      <c r="F68" s="502"/>
      <c r="G68" s="476"/>
      <c r="H68" s="1" t="s">
        <v>19</v>
      </c>
      <c r="I68" s="1">
        <f t="shared" ref="I68:I131" si="3">IF(H68&gt;0,0,1)</f>
        <v>0</v>
      </c>
    </row>
    <row r="69" spans="1:9" s="475" customFormat="1" ht="12" customHeight="1">
      <c r="A69" s="1">
        <v>68</v>
      </c>
      <c r="B69" s="497" t="str">
        <f t="shared" si="2"/>
        <v xml:space="preserve"> </v>
      </c>
      <c r="C69" s="502"/>
      <c r="D69" s="502"/>
      <c r="E69" s="502"/>
      <c r="F69" s="502"/>
      <c r="G69" s="476"/>
      <c r="H69" s="1" t="s">
        <v>19</v>
      </c>
      <c r="I69" s="1">
        <f t="shared" si="3"/>
        <v>0</v>
      </c>
    </row>
    <row r="70" spans="1:9" s="475" customFormat="1" ht="12" customHeight="1">
      <c r="A70" s="1">
        <v>69</v>
      </c>
      <c r="B70" s="497" t="str">
        <f t="shared" si="2"/>
        <v xml:space="preserve"> </v>
      </c>
      <c r="C70" s="502"/>
      <c r="D70" s="502"/>
      <c r="E70" s="502"/>
      <c r="F70" s="502"/>
      <c r="G70" s="476"/>
      <c r="H70" s="1" t="s">
        <v>19</v>
      </c>
      <c r="I70" s="1">
        <f t="shared" si="3"/>
        <v>0</v>
      </c>
    </row>
    <row r="71" spans="1:9" s="475" customFormat="1" ht="12" customHeight="1">
      <c r="A71" s="1">
        <v>70</v>
      </c>
      <c r="B71" s="497" t="str">
        <f t="shared" si="2"/>
        <v xml:space="preserve"> </v>
      </c>
      <c r="C71" s="502"/>
      <c r="D71" s="502"/>
      <c r="E71" s="502"/>
      <c r="F71" s="502"/>
      <c r="G71" s="476"/>
      <c r="H71" s="1" t="s">
        <v>19</v>
      </c>
      <c r="I71" s="1">
        <f t="shared" si="3"/>
        <v>0</v>
      </c>
    </row>
    <row r="72" spans="1:9" s="475" customFormat="1" ht="12" customHeight="1">
      <c r="A72" s="1">
        <v>71</v>
      </c>
      <c r="B72" s="497" t="str">
        <f t="shared" si="2"/>
        <v xml:space="preserve"> </v>
      </c>
      <c r="C72" s="502"/>
      <c r="D72" s="502"/>
      <c r="E72" s="502"/>
      <c r="F72" s="502"/>
      <c r="G72" s="476"/>
      <c r="H72" s="1" t="s">
        <v>19</v>
      </c>
      <c r="I72" s="1">
        <f t="shared" si="3"/>
        <v>0</v>
      </c>
    </row>
    <row r="73" spans="1:9" s="475" customFormat="1" ht="12" customHeight="1">
      <c r="A73" s="1">
        <v>72</v>
      </c>
      <c r="B73" s="497" t="str">
        <f t="shared" si="2"/>
        <v xml:space="preserve"> </v>
      </c>
      <c r="C73" s="502"/>
      <c r="D73" s="502"/>
      <c r="E73" s="502"/>
      <c r="F73" s="502"/>
      <c r="G73" s="476"/>
      <c r="H73" s="1" t="s">
        <v>19</v>
      </c>
      <c r="I73" s="1">
        <f t="shared" si="3"/>
        <v>0</v>
      </c>
    </row>
    <row r="74" spans="1:9" s="475" customFormat="1" ht="12" customHeight="1">
      <c r="A74" s="1">
        <v>73</v>
      </c>
      <c r="B74" s="497" t="str">
        <f t="shared" si="2"/>
        <v xml:space="preserve"> </v>
      </c>
      <c r="C74" s="502"/>
      <c r="D74" s="502"/>
      <c r="E74" s="502"/>
      <c r="F74" s="502"/>
      <c r="G74" s="476"/>
      <c r="H74" s="1" t="s">
        <v>19</v>
      </c>
      <c r="I74" s="1">
        <f t="shared" si="3"/>
        <v>0</v>
      </c>
    </row>
    <row r="75" spans="1:9" s="475" customFormat="1" ht="12" customHeight="1">
      <c r="A75" s="1">
        <v>74</v>
      </c>
      <c r="B75" s="497" t="str">
        <f t="shared" si="2"/>
        <v xml:space="preserve"> </v>
      </c>
      <c r="C75" s="502"/>
      <c r="D75" s="502"/>
      <c r="E75" s="502"/>
      <c r="F75" s="502"/>
      <c r="G75" s="476"/>
      <c r="H75" s="1" t="s">
        <v>19</v>
      </c>
      <c r="I75" s="1">
        <f t="shared" si="3"/>
        <v>0</v>
      </c>
    </row>
    <row r="76" spans="1:9" s="475" customFormat="1" ht="12" customHeight="1">
      <c r="A76" s="1">
        <v>75</v>
      </c>
      <c r="B76" s="497" t="str">
        <f t="shared" si="2"/>
        <v xml:space="preserve"> </v>
      </c>
      <c r="C76" s="502"/>
      <c r="D76" s="502"/>
      <c r="E76" s="502"/>
      <c r="F76" s="502"/>
      <c r="G76" s="476"/>
      <c r="H76" s="1" t="s">
        <v>19</v>
      </c>
      <c r="I76" s="1">
        <f t="shared" si="3"/>
        <v>0</v>
      </c>
    </row>
    <row r="77" spans="1:9" s="475" customFormat="1" ht="12" customHeight="1">
      <c r="A77" s="1">
        <v>76</v>
      </c>
      <c r="B77" s="497" t="str">
        <f t="shared" si="2"/>
        <v xml:space="preserve"> </v>
      </c>
      <c r="C77" s="502"/>
      <c r="D77" s="502"/>
      <c r="E77" s="502"/>
      <c r="F77" s="502"/>
      <c r="G77" s="476"/>
      <c r="H77" s="1" t="s">
        <v>19</v>
      </c>
      <c r="I77" s="1">
        <f t="shared" si="3"/>
        <v>0</v>
      </c>
    </row>
    <row r="78" spans="1:9" s="475" customFormat="1" ht="12" customHeight="1">
      <c r="A78" s="1">
        <v>77</v>
      </c>
      <c r="B78" s="497" t="str">
        <f t="shared" si="2"/>
        <v xml:space="preserve"> </v>
      </c>
      <c r="C78" s="502"/>
      <c r="D78" s="502"/>
      <c r="E78" s="502"/>
      <c r="F78" s="502"/>
      <c r="G78" s="476"/>
      <c r="H78" s="1" t="s">
        <v>19</v>
      </c>
      <c r="I78" s="1">
        <f t="shared" si="3"/>
        <v>0</v>
      </c>
    </row>
    <row r="79" spans="1:9" s="475" customFormat="1" ht="12" customHeight="1">
      <c r="A79" s="1">
        <v>78</v>
      </c>
      <c r="B79" s="497" t="str">
        <f t="shared" si="2"/>
        <v xml:space="preserve"> </v>
      </c>
      <c r="C79" s="502"/>
      <c r="D79" s="502"/>
      <c r="E79" s="502"/>
      <c r="F79" s="502"/>
      <c r="G79" s="476"/>
      <c r="H79" s="1" t="s">
        <v>19</v>
      </c>
      <c r="I79" s="1">
        <f t="shared" si="3"/>
        <v>0</v>
      </c>
    </row>
    <row r="80" spans="1:9" s="475" customFormat="1" ht="12" customHeight="1">
      <c r="A80" s="1">
        <v>79</v>
      </c>
      <c r="B80" s="497" t="str">
        <f t="shared" si="2"/>
        <v xml:space="preserve"> </v>
      </c>
      <c r="C80" s="502"/>
      <c r="D80" s="502"/>
      <c r="E80" s="502"/>
      <c r="F80" s="502"/>
      <c r="G80" s="476"/>
      <c r="H80" s="1" t="s">
        <v>19</v>
      </c>
      <c r="I80" s="1">
        <f t="shared" si="3"/>
        <v>0</v>
      </c>
    </row>
    <row r="81" spans="1:9" s="475" customFormat="1" ht="12" customHeight="1">
      <c r="A81" s="1">
        <v>80</v>
      </c>
      <c r="B81" s="497" t="str">
        <f t="shared" si="2"/>
        <v xml:space="preserve"> </v>
      </c>
      <c r="C81" s="502"/>
      <c r="D81" s="502"/>
      <c r="E81" s="502"/>
      <c r="F81" s="502"/>
      <c r="G81" s="476"/>
      <c r="H81" s="1" t="s">
        <v>19</v>
      </c>
      <c r="I81" s="1">
        <f t="shared" si="3"/>
        <v>0</v>
      </c>
    </row>
    <row r="82" spans="1:9" s="475" customFormat="1" ht="12" customHeight="1">
      <c r="A82" s="1">
        <v>81</v>
      </c>
      <c r="B82" s="497" t="str">
        <f t="shared" si="2"/>
        <v xml:space="preserve"> </v>
      </c>
      <c r="C82" s="502"/>
      <c r="D82" s="502"/>
      <c r="E82" s="502"/>
      <c r="F82" s="502"/>
      <c r="G82" s="476"/>
      <c r="H82" s="1" t="s">
        <v>19</v>
      </c>
      <c r="I82" s="1">
        <f t="shared" si="3"/>
        <v>0</v>
      </c>
    </row>
    <row r="83" spans="1:9" s="475" customFormat="1" ht="12" customHeight="1">
      <c r="A83" s="1">
        <v>82</v>
      </c>
      <c r="B83" s="497" t="str">
        <f t="shared" si="2"/>
        <v xml:space="preserve"> </v>
      </c>
      <c r="C83" s="502"/>
      <c r="D83" s="502"/>
      <c r="E83" s="502"/>
      <c r="F83" s="502"/>
      <c r="G83" s="476"/>
      <c r="H83" s="1" t="s">
        <v>19</v>
      </c>
      <c r="I83" s="1">
        <f t="shared" si="3"/>
        <v>0</v>
      </c>
    </row>
    <row r="84" spans="1:9" s="475" customFormat="1" ht="12" customHeight="1">
      <c r="A84" s="1">
        <v>83</v>
      </c>
      <c r="B84" s="497" t="str">
        <f t="shared" si="2"/>
        <v xml:space="preserve"> </v>
      </c>
      <c r="C84" s="502"/>
      <c r="D84" s="502"/>
      <c r="E84" s="502"/>
      <c r="F84" s="502"/>
      <c r="G84" s="476"/>
      <c r="H84" s="1" t="s">
        <v>19</v>
      </c>
      <c r="I84" s="1">
        <f t="shared" si="3"/>
        <v>0</v>
      </c>
    </row>
    <row r="85" spans="1:9" s="475" customFormat="1" ht="12" customHeight="1">
      <c r="A85" s="1">
        <v>84</v>
      </c>
      <c r="B85" s="497" t="str">
        <f t="shared" si="2"/>
        <v xml:space="preserve"> </v>
      </c>
      <c r="C85" s="502"/>
      <c r="D85" s="502"/>
      <c r="E85" s="502"/>
      <c r="F85" s="502"/>
      <c r="G85" s="476"/>
      <c r="H85" s="1" t="s">
        <v>19</v>
      </c>
      <c r="I85" s="1">
        <f t="shared" si="3"/>
        <v>0</v>
      </c>
    </row>
    <row r="86" spans="1:9" s="475" customFormat="1" ht="12" customHeight="1">
      <c r="A86" s="1">
        <v>85</v>
      </c>
      <c r="B86" s="497" t="str">
        <f t="shared" si="2"/>
        <v xml:space="preserve"> </v>
      </c>
      <c r="C86" s="502"/>
      <c r="D86" s="502"/>
      <c r="E86" s="502"/>
      <c r="F86" s="502"/>
      <c r="G86" s="476"/>
      <c r="H86" s="1" t="s">
        <v>19</v>
      </c>
      <c r="I86" s="1">
        <f t="shared" si="3"/>
        <v>0</v>
      </c>
    </row>
    <row r="87" spans="1:9" s="475" customFormat="1" ht="12" customHeight="1">
      <c r="A87" s="1">
        <v>86</v>
      </c>
      <c r="B87" s="497" t="str">
        <f t="shared" si="2"/>
        <v xml:space="preserve"> </v>
      </c>
      <c r="C87" s="502"/>
      <c r="D87" s="502"/>
      <c r="E87" s="502"/>
      <c r="F87" s="502"/>
      <c r="G87" s="476"/>
      <c r="H87" s="1" t="s">
        <v>19</v>
      </c>
      <c r="I87" s="1">
        <f t="shared" si="3"/>
        <v>0</v>
      </c>
    </row>
    <row r="88" spans="1:9" s="475" customFormat="1" ht="12" customHeight="1">
      <c r="A88" s="1">
        <v>87</v>
      </c>
      <c r="B88" s="497" t="str">
        <f t="shared" si="2"/>
        <v xml:space="preserve"> </v>
      </c>
      <c r="C88" s="502"/>
      <c r="D88" s="502"/>
      <c r="E88" s="502"/>
      <c r="F88" s="502"/>
      <c r="G88" s="476"/>
      <c r="H88" s="1" t="s">
        <v>19</v>
      </c>
      <c r="I88" s="1">
        <f t="shared" si="3"/>
        <v>0</v>
      </c>
    </row>
    <row r="89" spans="1:9" s="475" customFormat="1" ht="12" customHeight="1">
      <c r="A89" s="1">
        <v>88</v>
      </c>
      <c r="B89" s="497" t="str">
        <f t="shared" si="2"/>
        <v xml:space="preserve"> </v>
      </c>
      <c r="C89" s="502"/>
      <c r="D89" s="502"/>
      <c r="E89" s="502"/>
      <c r="F89" s="502"/>
      <c r="G89" s="476"/>
      <c r="H89" s="1" t="s">
        <v>19</v>
      </c>
      <c r="I89" s="1">
        <f t="shared" si="3"/>
        <v>0</v>
      </c>
    </row>
    <row r="90" spans="1:9" s="475" customFormat="1" ht="12" customHeight="1">
      <c r="A90" s="1">
        <v>89</v>
      </c>
      <c r="B90" s="497" t="str">
        <f t="shared" si="2"/>
        <v xml:space="preserve"> </v>
      </c>
      <c r="C90" s="502"/>
      <c r="D90" s="502"/>
      <c r="E90" s="502"/>
      <c r="F90" s="502"/>
      <c r="G90" s="476"/>
      <c r="H90" s="1" t="s">
        <v>19</v>
      </c>
      <c r="I90" s="1">
        <f t="shared" si="3"/>
        <v>0</v>
      </c>
    </row>
    <row r="91" spans="1:9" s="475" customFormat="1" ht="12" customHeight="1">
      <c r="A91" s="1">
        <v>90</v>
      </c>
      <c r="B91" s="497" t="str">
        <f t="shared" si="2"/>
        <v xml:space="preserve"> </v>
      </c>
      <c r="C91" s="502"/>
      <c r="D91" s="502"/>
      <c r="E91" s="502"/>
      <c r="F91" s="502"/>
      <c r="G91" s="476"/>
      <c r="H91" s="1" t="s">
        <v>19</v>
      </c>
      <c r="I91" s="1">
        <f t="shared" si="3"/>
        <v>0</v>
      </c>
    </row>
    <row r="92" spans="1:9" s="475" customFormat="1" ht="12" customHeight="1">
      <c r="A92" s="1">
        <v>91</v>
      </c>
      <c r="B92" s="497" t="str">
        <f t="shared" si="2"/>
        <v xml:space="preserve"> </v>
      </c>
      <c r="C92" s="502"/>
      <c r="D92" s="502"/>
      <c r="E92" s="502"/>
      <c r="F92" s="502"/>
      <c r="G92" s="476"/>
      <c r="H92" s="1" t="s">
        <v>19</v>
      </c>
      <c r="I92" s="1">
        <f t="shared" si="3"/>
        <v>0</v>
      </c>
    </row>
    <row r="93" spans="1:9" s="475" customFormat="1" ht="12" customHeight="1">
      <c r="A93" s="1">
        <v>92</v>
      </c>
      <c r="B93" s="497" t="str">
        <f t="shared" si="2"/>
        <v xml:space="preserve"> </v>
      </c>
      <c r="C93" s="502"/>
      <c r="D93" s="502"/>
      <c r="E93" s="502"/>
      <c r="F93" s="502"/>
      <c r="G93" s="476"/>
      <c r="H93" s="1" t="s">
        <v>19</v>
      </c>
      <c r="I93" s="1">
        <f t="shared" si="3"/>
        <v>0</v>
      </c>
    </row>
    <row r="94" spans="1:9" s="475" customFormat="1" ht="12" customHeight="1">
      <c r="A94" s="1">
        <v>93</v>
      </c>
      <c r="B94" s="497" t="str">
        <f t="shared" si="2"/>
        <v xml:space="preserve"> </v>
      </c>
      <c r="C94" s="502"/>
      <c r="D94" s="502"/>
      <c r="E94" s="502"/>
      <c r="F94" s="502"/>
      <c r="G94" s="476"/>
      <c r="H94" s="1" t="s">
        <v>19</v>
      </c>
      <c r="I94" s="1">
        <f t="shared" si="3"/>
        <v>0</v>
      </c>
    </row>
    <row r="95" spans="1:9" s="475" customFormat="1" ht="12" customHeight="1">
      <c r="A95" s="1">
        <v>94</v>
      </c>
      <c r="B95" s="497" t="str">
        <f t="shared" si="2"/>
        <v xml:space="preserve"> </v>
      </c>
      <c r="C95" s="502"/>
      <c r="D95" s="502"/>
      <c r="E95" s="502"/>
      <c r="F95" s="502"/>
      <c r="G95" s="476"/>
      <c r="H95" s="1" t="s">
        <v>19</v>
      </c>
      <c r="I95" s="1">
        <f t="shared" si="3"/>
        <v>0</v>
      </c>
    </row>
    <row r="96" spans="1:9" s="475" customFormat="1" ht="12" customHeight="1">
      <c r="A96" s="1">
        <v>95</v>
      </c>
      <c r="B96" s="497" t="str">
        <f t="shared" si="2"/>
        <v xml:space="preserve"> </v>
      </c>
      <c r="C96" s="502"/>
      <c r="D96" s="502"/>
      <c r="E96" s="502"/>
      <c r="F96" s="502"/>
      <c r="G96" s="476"/>
      <c r="H96" s="1" t="s">
        <v>19</v>
      </c>
      <c r="I96" s="1">
        <f t="shared" si="3"/>
        <v>0</v>
      </c>
    </row>
    <row r="97" spans="1:9" s="475" customFormat="1" ht="12" customHeight="1">
      <c r="A97" s="1">
        <v>96</v>
      </c>
      <c r="B97" s="497" t="str">
        <f t="shared" si="2"/>
        <v xml:space="preserve"> </v>
      </c>
      <c r="C97" s="502"/>
      <c r="D97" s="502"/>
      <c r="E97" s="502"/>
      <c r="F97" s="502"/>
      <c r="G97" s="476"/>
      <c r="H97" s="1" t="s">
        <v>19</v>
      </c>
      <c r="I97" s="1">
        <f t="shared" si="3"/>
        <v>0</v>
      </c>
    </row>
    <row r="98" spans="1:9" s="475" customFormat="1" ht="12" customHeight="1">
      <c r="A98" s="1">
        <v>97</v>
      </c>
      <c r="B98" s="497" t="str">
        <f t="shared" si="2"/>
        <v xml:space="preserve"> </v>
      </c>
      <c r="C98" s="502"/>
      <c r="D98" s="502"/>
      <c r="E98" s="502"/>
      <c r="F98" s="502"/>
      <c r="G98" s="476"/>
      <c r="H98" s="1" t="s">
        <v>19</v>
      </c>
      <c r="I98" s="1">
        <f t="shared" si="3"/>
        <v>0</v>
      </c>
    </row>
    <row r="99" spans="1:9" s="475" customFormat="1" ht="12" customHeight="1">
      <c r="A99" s="1">
        <v>98</v>
      </c>
      <c r="B99" s="497" t="str">
        <f t="shared" si="2"/>
        <v xml:space="preserve"> </v>
      </c>
      <c r="C99" s="502"/>
      <c r="D99" s="502"/>
      <c r="E99" s="502"/>
      <c r="F99" s="502"/>
      <c r="G99" s="476"/>
      <c r="H99" s="1" t="s">
        <v>19</v>
      </c>
      <c r="I99" s="1">
        <f t="shared" si="3"/>
        <v>0</v>
      </c>
    </row>
    <row r="100" spans="1:9" s="475" customFormat="1" ht="12" customHeight="1">
      <c r="A100" s="1">
        <v>99</v>
      </c>
      <c r="B100" s="497" t="str">
        <f t="shared" si="2"/>
        <v xml:space="preserve"> </v>
      </c>
      <c r="C100" s="502"/>
      <c r="D100" s="502"/>
      <c r="E100" s="502"/>
      <c r="F100" s="502"/>
      <c r="G100" s="476"/>
      <c r="H100" s="1" t="s">
        <v>19</v>
      </c>
      <c r="I100" s="1">
        <f t="shared" si="3"/>
        <v>0</v>
      </c>
    </row>
    <row r="101" spans="1:9" s="475" customFormat="1" ht="12" customHeight="1">
      <c r="A101" s="1">
        <v>100</v>
      </c>
      <c r="B101" s="497" t="str">
        <f t="shared" si="2"/>
        <v xml:space="preserve"> </v>
      </c>
      <c r="C101" s="502"/>
      <c r="D101" s="502"/>
      <c r="E101" s="502"/>
      <c r="F101" s="502"/>
      <c r="G101" s="476"/>
      <c r="H101" s="1" t="s">
        <v>19</v>
      </c>
      <c r="I101" s="1">
        <f t="shared" si="3"/>
        <v>0</v>
      </c>
    </row>
    <row r="102" spans="1:9" s="475" customFormat="1" ht="12" customHeight="1">
      <c r="A102" s="1">
        <v>101</v>
      </c>
      <c r="B102" s="497" t="str">
        <f t="shared" si="2"/>
        <v xml:space="preserve"> </v>
      </c>
      <c r="C102" s="502"/>
      <c r="D102" s="502"/>
      <c r="E102" s="502"/>
      <c r="F102" s="502"/>
      <c r="G102" s="476"/>
      <c r="H102" s="1" t="s">
        <v>19</v>
      </c>
      <c r="I102" s="1">
        <f t="shared" si="3"/>
        <v>0</v>
      </c>
    </row>
    <row r="103" spans="1:9" s="475" customFormat="1" ht="12" customHeight="1">
      <c r="A103" s="1">
        <v>102</v>
      </c>
      <c r="B103" s="497" t="str">
        <f t="shared" si="2"/>
        <v xml:space="preserve"> </v>
      </c>
      <c r="C103" s="502"/>
      <c r="D103" s="502"/>
      <c r="E103" s="502"/>
      <c r="F103" s="502"/>
      <c r="G103" s="476"/>
      <c r="H103" s="1" t="s">
        <v>19</v>
      </c>
      <c r="I103" s="1">
        <f t="shared" si="3"/>
        <v>0</v>
      </c>
    </row>
    <row r="104" spans="1:9" s="475" customFormat="1" ht="12" customHeight="1">
      <c r="A104" s="1">
        <v>103</v>
      </c>
      <c r="B104" s="497" t="str">
        <f t="shared" si="2"/>
        <v xml:space="preserve"> </v>
      </c>
      <c r="C104" s="502"/>
      <c r="D104" s="502"/>
      <c r="E104" s="502"/>
      <c r="F104" s="502"/>
      <c r="G104" s="476"/>
      <c r="H104" s="1" t="s">
        <v>19</v>
      </c>
      <c r="I104" s="1">
        <f t="shared" si="3"/>
        <v>0</v>
      </c>
    </row>
    <row r="105" spans="1:9" s="475" customFormat="1" ht="12" customHeight="1">
      <c r="A105" s="1">
        <v>104</v>
      </c>
      <c r="B105" s="497" t="str">
        <f t="shared" si="2"/>
        <v xml:space="preserve"> </v>
      </c>
      <c r="C105" s="502"/>
      <c r="D105" s="502"/>
      <c r="E105" s="502"/>
      <c r="F105" s="502"/>
      <c r="G105" s="476"/>
      <c r="H105" s="1" t="s">
        <v>19</v>
      </c>
      <c r="I105" s="1">
        <f t="shared" si="3"/>
        <v>0</v>
      </c>
    </row>
    <row r="106" spans="1:9" s="475" customFormat="1" ht="12" customHeight="1">
      <c r="A106" s="1">
        <v>105</v>
      </c>
      <c r="B106" s="497" t="str">
        <f t="shared" si="2"/>
        <v xml:space="preserve"> </v>
      </c>
      <c r="C106" s="502"/>
      <c r="D106" s="502"/>
      <c r="E106" s="502"/>
      <c r="F106" s="502"/>
      <c r="G106" s="476"/>
      <c r="H106" s="1" t="s">
        <v>19</v>
      </c>
      <c r="I106" s="1">
        <f t="shared" si="3"/>
        <v>0</v>
      </c>
    </row>
    <row r="107" spans="1:9" s="475" customFormat="1" ht="12" customHeight="1">
      <c r="A107" s="1">
        <v>106</v>
      </c>
      <c r="B107" s="497" t="str">
        <f t="shared" si="2"/>
        <v xml:space="preserve"> </v>
      </c>
      <c r="C107" s="502"/>
      <c r="D107" s="502"/>
      <c r="E107" s="502"/>
      <c r="F107" s="502"/>
      <c r="G107" s="476"/>
      <c r="H107" s="1" t="s">
        <v>19</v>
      </c>
      <c r="I107" s="1">
        <f t="shared" si="3"/>
        <v>0</v>
      </c>
    </row>
    <row r="108" spans="1:9" s="475" customFormat="1" ht="12" customHeight="1">
      <c r="A108" s="1">
        <v>107</v>
      </c>
      <c r="B108" s="497" t="str">
        <f t="shared" si="2"/>
        <v xml:space="preserve"> </v>
      </c>
      <c r="C108" s="502"/>
      <c r="D108" s="502"/>
      <c r="E108" s="502"/>
      <c r="F108" s="502"/>
      <c r="G108" s="476"/>
      <c r="H108" s="1" t="s">
        <v>19</v>
      </c>
      <c r="I108" s="1">
        <f t="shared" si="3"/>
        <v>0</v>
      </c>
    </row>
    <row r="109" spans="1:9" s="475" customFormat="1" ht="12" customHeight="1">
      <c r="A109" s="1">
        <v>108</v>
      </c>
      <c r="B109" s="497" t="str">
        <f t="shared" si="2"/>
        <v xml:space="preserve"> </v>
      </c>
      <c r="C109" s="502"/>
      <c r="D109" s="502"/>
      <c r="E109" s="502"/>
      <c r="F109" s="502"/>
      <c r="G109" s="476"/>
      <c r="H109" s="1" t="s">
        <v>19</v>
      </c>
      <c r="I109" s="1">
        <f t="shared" si="3"/>
        <v>0</v>
      </c>
    </row>
    <row r="110" spans="1:9" s="475" customFormat="1" ht="12" customHeight="1">
      <c r="A110" s="1">
        <v>109</v>
      </c>
      <c r="B110" s="497" t="str">
        <f t="shared" si="2"/>
        <v xml:space="preserve"> </v>
      </c>
      <c r="C110" s="502"/>
      <c r="D110" s="502"/>
      <c r="E110" s="502"/>
      <c r="F110" s="502"/>
      <c r="G110" s="476"/>
      <c r="H110" s="1" t="s">
        <v>19</v>
      </c>
      <c r="I110" s="1">
        <f t="shared" si="3"/>
        <v>0</v>
      </c>
    </row>
    <row r="111" spans="1:9" s="475" customFormat="1" ht="12" customHeight="1">
      <c r="A111" s="1">
        <v>110</v>
      </c>
      <c r="B111" s="497" t="str">
        <f t="shared" si="2"/>
        <v xml:space="preserve"> </v>
      </c>
      <c r="C111" s="502"/>
      <c r="D111" s="502"/>
      <c r="E111" s="502"/>
      <c r="F111" s="502"/>
      <c r="G111" s="476"/>
      <c r="H111" s="1" t="s">
        <v>19</v>
      </c>
      <c r="I111" s="1">
        <f t="shared" si="3"/>
        <v>0</v>
      </c>
    </row>
    <row r="112" spans="1:9" s="475" customFormat="1" ht="12" customHeight="1">
      <c r="A112" s="1">
        <v>111</v>
      </c>
      <c r="B112" s="497" t="str">
        <f t="shared" si="2"/>
        <v xml:space="preserve"> </v>
      </c>
      <c r="C112" s="502"/>
      <c r="D112" s="502"/>
      <c r="E112" s="502"/>
      <c r="F112" s="502"/>
      <c r="G112" s="476"/>
      <c r="H112" s="1" t="s">
        <v>19</v>
      </c>
      <c r="I112" s="1">
        <f t="shared" si="3"/>
        <v>0</v>
      </c>
    </row>
    <row r="113" spans="1:9" s="475" customFormat="1" ht="12" customHeight="1">
      <c r="A113" s="1">
        <v>112</v>
      </c>
      <c r="B113" s="497" t="str">
        <f t="shared" si="2"/>
        <v xml:space="preserve"> </v>
      </c>
      <c r="C113" s="502"/>
      <c r="D113" s="502"/>
      <c r="E113" s="502"/>
      <c r="F113" s="502"/>
      <c r="G113" s="476"/>
      <c r="H113" s="1" t="s">
        <v>19</v>
      </c>
      <c r="I113" s="1">
        <f t="shared" si="3"/>
        <v>0</v>
      </c>
    </row>
    <row r="114" spans="1:9" s="475" customFormat="1" ht="12" customHeight="1">
      <c r="A114" s="1">
        <v>113</v>
      </c>
      <c r="B114" s="497" t="str">
        <f t="shared" si="2"/>
        <v xml:space="preserve"> </v>
      </c>
      <c r="C114" s="502"/>
      <c r="D114" s="502"/>
      <c r="E114" s="502"/>
      <c r="F114" s="502"/>
      <c r="G114" s="476"/>
      <c r="H114" s="1" t="s">
        <v>19</v>
      </c>
      <c r="I114" s="1">
        <f t="shared" si="3"/>
        <v>0</v>
      </c>
    </row>
    <row r="115" spans="1:9" s="475" customFormat="1" ht="12" customHeight="1">
      <c r="A115" s="1">
        <v>114</v>
      </c>
      <c r="B115" s="497" t="str">
        <f t="shared" si="2"/>
        <v xml:space="preserve"> </v>
      </c>
      <c r="C115" s="502"/>
      <c r="D115" s="502"/>
      <c r="E115" s="502"/>
      <c r="F115" s="502"/>
      <c r="G115" s="476"/>
      <c r="H115" s="1" t="s">
        <v>19</v>
      </c>
      <c r="I115" s="1">
        <f t="shared" si="3"/>
        <v>0</v>
      </c>
    </row>
    <row r="116" spans="1:9" s="475" customFormat="1" ht="12" customHeight="1">
      <c r="A116" s="1">
        <v>115</v>
      </c>
      <c r="B116" s="497" t="str">
        <f t="shared" si="2"/>
        <v xml:space="preserve"> </v>
      </c>
      <c r="C116" s="502"/>
      <c r="D116" s="502"/>
      <c r="E116" s="502"/>
      <c r="F116" s="502"/>
      <c r="G116" s="476"/>
      <c r="H116" s="1" t="s">
        <v>19</v>
      </c>
      <c r="I116" s="1">
        <f t="shared" si="3"/>
        <v>0</v>
      </c>
    </row>
    <row r="117" spans="1:9" s="475" customFormat="1" ht="12" customHeight="1">
      <c r="A117" s="1">
        <v>116</v>
      </c>
      <c r="B117" s="497" t="str">
        <f t="shared" si="2"/>
        <v xml:space="preserve"> </v>
      </c>
      <c r="C117" s="502"/>
      <c r="D117" s="502"/>
      <c r="E117" s="502"/>
      <c r="F117" s="502"/>
      <c r="G117" s="476"/>
      <c r="H117" s="1" t="s">
        <v>19</v>
      </c>
      <c r="I117" s="1">
        <f t="shared" si="3"/>
        <v>0</v>
      </c>
    </row>
    <row r="118" spans="1:9" s="475" customFormat="1" ht="12" customHeight="1">
      <c r="A118" s="1">
        <v>117</v>
      </c>
      <c r="B118" s="497" t="str">
        <f t="shared" si="2"/>
        <v xml:space="preserve"> </v>
      </c>
      <c r="C118" s="502"/>
      <c r="D118" s="502"/>
      <c r="E118" s="502"/>
      <c r="F118" s="502"/>
      <c r="G118" s="476"/>
      <c r="H118" s="1" t="s">
        <v>19</v>
      </c>
      <c r="I118" s="1">
        <f t="shared" si="3"/>
        <v>0</v>
      </c>
    </row>
    <row r="119" spans="1:9" s="475" customFormat="1" ht="12" customHeight="1">
      <c r="A119" s="1">
        <v>118</v>
      </c>
      <c r="B119" s="497" t="str">
        <f t="shared" si="2"/>
        <v xml:space="preserve"> </v>
      </c>
      <c r="C119" s="502"/>
      <c r="D119" s="502"/>
      <c r="E119" s="502"/>
      <c r="F119" s="502"/>
      <c r="G119" s="476"/>
      <c r="H119" s="1" t="s">
        <v>19</v>
      </c>
      <c r="I119" s="1">
        <f t="shared" si="3"/>
        <v>0</v>
      </c>
    </row>
    <row r="120" spans="1:9" s="475" customFormat="1" ht="12" customHeight="1">
      <c r="A120" s="1">
        <v>119</v>
      </c>
      <c r="B120" s="497" t="str">
        <f t="shared" si="2"/>
        <v xml:space="preserve"> </v>
      </c>
      <c r="C120" s="502"/>
      <c r="D120" s="502"/>
      <c r="E120" s="502"/>
      <c r="F120" s="502"/>
      <c r="G120" s="476"/>
      <c r="H120" s="1" t="s">
        <v>19</v>
      </c>
      <c r="I120" s="1">
        <f t="shared" si="3"/>
        <v>0</v>
      </c>
    </row>
    <row r="121" spans="1:9" s="475" customFormat="1" ht="12" customHeight="1">
      <c r="A121" s="1">
        <v>120</v>
      </c>
      <c r="B121" s="497" t="str">
        <f t="shared" si="2"/>
        <v xml:space="preserve"> </v>
      </c>
      <c r="C121" s="502"/>
      <c r="D121" s="502"/>
      <c r="E121" s="502"/>
      <c r="F121" s="502"/>
      <c r="G121" s="476"/>
      <c r="H121" s="1" t="s">
        <v>19</v>
      </c>
      <c r="I121" s="1">
        <f t="shared" si="3"/>
        <v>0</v>
      </c>
    </row>
    <row r="122" spans="1:9" s="475" customFormat="1" ht="12" customHeight="1">
      <c r="A122" s="1">
        <v>121</v>
      </c>
      <c r="B122" s="497" t="str">
        <f t="shared" si="2"/>
        <v xml:space="preserve"> </v>
      </c>
      <c r="C122" s="502"/>
      <c r="D122" s="502"/>
      <c r="E122" s="502"/>
      <c r="F122" s="502"/>
      <c r="G122" s="476"/>
      <c r="H122" s="1" t="s">
        <v>19</v>
      </c>
      <c r="I122" s="1">
        <f t="shared" si="3"/>
        <v>0</v>
      </c>
    </row>
    <row r="123" spans="1:9" s="475" customFormat="1" ht="12" customHeight="1">
      <c r="A123" s="1">
        <v>122</v>
      </c>
      <c r="B123" s="497" t="str">
        <f t="shared" si="2"/>
        <v xml:space="preserve"> </v>
      </c>
      <c r="C123" s="502"/>
      <c r="D123" s="502"/>
      <c r="E123" s="502"/>
      <c r="F123" s="502"/>
      <c r="G123" s="476"/>
      <c r="H123" s="1" t="s">
        <v>19</v>
      </c>
      <c r="I123" s="1">
        <f t="shared" si="3"/>
        <v>0</v>
      </c>
    </row>
    <row r="124" spans="1:9" s="475" customFormat="1" ht="12" customHeight="1">
      <c r="A124" s="1">
        <v>123</v>
      </c>
      <c r="B124" s="497" t="str">
        <f t="shared" si="2"/>
        <v xml:space="preserve"> </v>
      </c>
      <c r="C124" s="502"/>
      <c r="D124" s="502"/>
      <c r="E124" s="502"/>
      <c r="F124" s="502"/>
      <c r="G124" s="476"/>
      <c r="H124" s="1" t="s">
        <v>19</v>
      </c>
      <c r="I124" s="1">
        <f t="shared" si="3"/>
        <v>0</v>
      </c>
    </row>
    <row r="125" spans="1:9" s="475" customFormat="1" ht="12" customHeight="1">
      <c r="A125" s="1">
        <v>124</v>
      </c>
      <c r="B125" s="497" t="str">
        <f t="shared" si="2"/>
        <v xml:space="preserve"> </v>
      </c>
      <c r="C125" s="502"/>
      <c r="D125" s="502"/>
      <c r="E125" s="502"/>
      <c r="F125" s="502"/>
      <c r="G125" s="476"/>
      <c r="H125" s="1" t="s">
        <v>19</v>
      </c>
      <c r="I125" s="1">
        <f t="shared" si="3"/>
        <v>0</v>
      </c>
    </row>
    <row r="126" spans="1:9" s="475" customFormat="1" ht="12" customHeight="1">
      <c r="A126" s="1">
        <v>125</v>
      </c>
      <c r="B126" s="497" t="str">
        <f t="shared" si="2"/>
        <v xml:space="preserve"> </v>
      </c>
      <c r="C126" s="502"/>
      <c r="D126" s="502"/>
      <c r="E126" s="502"/>
      <c r="F126" s="502"/>
      <c r="G126" s="476"/>
      <c r="H126" s="1" t="s">
        <v>19</v>
      </c>
      <c r="I126" s="1">
        <f t="shared" si="3"/>
        <v>0</v>
      </c>
    </row>
    <row r="127" spans="1:9" s="475" customFormat="1" ht="12" customHeight="1">
      <c r="A127" s="1">
        <v>126</v>
      </c>
      <c r="B127" s="497" t="str">
        <f t="shared" si="2"/>
        <v xml:space="preserve"> </v>
      </c>
      <c r="C127" s="502"/>
      <c r="D127" s="502"/>
      <c r="E127" s="502"/>
      <c r="F127" s="502"/>
      <c r="G127" s="476"/>
      <c r="H127" s="1" t="s">
        <v>19</v>
      </c>
      <c r="I127" s="1">
        <f t="shared" si="3"/>
        <v>0</v>
      </c>
    </row>
    <row r="128" spans="1:9" s="475" customFormat="1" ht="12" customHeight="1">
      <c r="A128" s="1">
        <v>127</v>
      </c>
      <c r="B128" s="497" t="str">
        <f t="shared" si="2"/>
        <v xml:space="preserve"> </v>
      </c>
      <c r="C128" s="502"/>
      <c r="D128" s="502"/>
      <c r="E128" s="502"/>
      <c r="F128" s="502"/>
      <c r="G128" s="476"/>
      <c r="H128" s="1" t="s">
        <v>19</v>
      </c>
      <c r="I128" s="1">
        <f t="shared" si="3"/>
        <v>0</v>
      </c>
    </row>
    <row r="129" spans="1:9" s="475" customFormat="1" ht="12" customHeight="1">
      <c r="A129" s="1">
        <v>128</v>
      </c>
      <c r="B129" s="497" t="str">
        <f t="shared" si="2"/>
        <v xml:space="preserve"> </v>
      </c>
      <c r="C129" s="502"/>
      <c r="D129" s="502"/>
      <c r="E129" s="502"/>
      <c r="F129" s="502"/>
      <c r="G129" s="476"/>
      <c r="H129" s="1" t="s">
        <v>19</v>
      </c>
      <c r="I129" s="1">
        <f t="shared" si="3"/>
        <v>0</v>
      </c>
    </row>
    <row r="130" spans="1:9" s="475" customFormat="1" ht="12" customHeight="1">
      <c r="A130" s="1">
        <v>129</v>
      </c>
      <c r="B130" s="497" t="str">
        <f t="shared" si="2"/>
        <v xml:space="preserve"> </v>
      </c>
      <c r="C130" s="502"/>
      <c r="D130" s="502"/>
      <c r="E130" s="502"/>
      <c r="F130" s="502"/>
      <c r="G130" s="476"/>
      <c r="H130" s="1" t="s">
        <v>19</v>
      </c>
      <c r="I130" s="1">
        <f t="shared" si="3"/>
        <v>0</v>
      </c>
    </row>
    <row r="131" spans="1:9" s="475" customFormat="1" ht="12" customHeight="1">
      <c r="A131" s="1">
        <v>130</v>
      </c>
      <c r="B131" s="497" t="str">
        <f t="shared" ref="B131:B151" si="4">C131&amp; " " &amp;D131</f>
        <v xml:space="preserve"> </v>
      </c>
      <c r="C131" s="502"/>
      <c r="D131" s="502"/>
      <c r="E131" s="502"/>
      <c r="F131" s="502"/>
      <c r="G131" s="476"/>
      <c r="H131" s="1" t="s">
        <v>19</v>
      </c>
      <c r="I131" s="1">
        <f t="shared" si="3"/>
        <v>0</v>
      </c>
    </row>
    <row r="132" spans="1:9" s="475" customFormat="1" ht="12" customHeight="1">
      <c r="A132" s="1">
        <v>131</v>
      </c>
      <c r="B132" s="497" t="str">
        <f t="shared" si="4"/>
        <v xml:space="preserve"> </v>
      </c>
      <c r="C132" s="502"/>
      <c r="D132" s="502"/>
      <c r="E132" s="502"/>
      <c r="F132" s="502"/>
      <c r="G132" s="476"/>
      <c r="H132" s="1" t="s">
        <v>19</v>
      </c>
      <c r="I132" s="1">
        <f t="shared" ref="I132:I151" si="5">IF(H132&gt;0,0,1)</f>
        <v>0</v>
      </c>
    </row>
    <row r="133" spans="1:9" s="475" customFormat="1" ht="12" customHeight="1">
      <c r="A133" s="1">
        <v>132</v>
      </c>
      <c r="B133" s="497" t="str">
        <f t="shared" si="4"/>
        <v xml:space="preserve"> </v>
      </c>
      <c r="C133" s="502"/>
      <c r="D133" s="502"/>
      <c r="E133" s="502"/>
      <c r="F133" s="502"/>
      <c r="G133" s="476"/>
      <c r="H133" s="1" t="s">
        <v>19</v>
      </c>
      <c r="I133" s="1">
        <f t="shared" si="5"/>
        <v>0</v>
      </c>
    </row>
    <row r="134" spans="1:9" s="475" customFormat="1" ht="12" customHeight="1">
      <c r="A134" s="1">
        <v>133</v>
      </c>
      <c r="B134" s="497" t="str">
        <f t="shared" si="4"/>
        <v xml:space="preserve"> </v>
      </c>
      <c r="C134" s="502"/>
      <c r="D134" s="502"/>
      <c r="E134" s="502"/>
      <c r="F134" s="502"/>
      <c r="G134" s="476"/>
      <c r="H134" s="1" t="s">
        <v>19</v>
      </c>
      <c r="I134" s="1">
        <f t="shared" si="5"/>
        <v>0</v>
      </c>
    </row>
    <row r="135" spans="1:9" s="475" customFormat="1" ht="12" customHeight="1">
      <c r="A135" s="1">
        <v>134</v>
      </c>
      <c r="B135" s="497" t="str">
        <f t="shared" si="4"/>
        <v xml:space="preserve"> </v>
      </c>
      <c r="C135" s="502"/>
      <c r="D135" s="502"/>
      <c r="E135" s="502"/>
      <c r="F135" s="502"/>
      <c r="G135" s="476"/>
      <c r="H135" s="1" t="s">
        <v>19</v>
      </c>
      <c r="I135" s="1">
        <f t="shared" si="5"/>
        <v>0</v>
      </c>
    </row>
    <row r="136" spans="1:9" s="475" customFormat="1" ht="12" customHeight="1">
      <c r="A136" s="1">
        <v>135</v>
      </c>
      <c r="B136" s="497" t="str">
        <f t="shared" si="4"/>
        <v xml:space="preserve"> </v>
      </c>
      <c r="C136" s="502"/>
      <c r="D136" s="502"/>
      <c r="E136" s="502"/>
      <c r="F136" s="502"/>
      <c r="G136" s="476"/>
      <c r="H136" s="1" t="s">
        <v>19</v>
      </c>
      <c r="I136" s="1">
        <f t="shared" si="5"/>
        <v>0</v>
      </c>
    </row>
    <row r="137" spans="1:9" s="475" customFormat="1" ht="12" customHeight="1">
      <c r="A137" s="1">
        <v>136</v>
      </c>
      <c r="B137" s="497" t="str">
        <f t="shared" si="4"/>
        <v xml:space="preserve"> </v>
      </c>
      <c r="C137" s="502"/>
      <c r="D137" s="502"/>
      <c r="E137" s="502"/>
      <c r="F137" s="502"/>
      <c r="G137" s="476"/>
      <c r="H137" s="1" t="s">
        <v>19</v>
      </c>
      <c r="I137" s="1">
        <f t="shared" si="5"/>
        <v>0</v>
      </c>
    </row>
    <row r="138" spans="1:9" s="475" customFormat="1" ht="12" customHeight="1">
      <c r="A138" s="1">
        <v>137</v>
      </c>
      <c r="B138" s="497" t="str">
        <f t="shared" si="4"/>
        <v xml:space="preserve"> </v>
      </c>
      <c r="C138" s="502"/>
      <c r="D138" s="502"/>
      <c r="E138" s="502"/>
      <c r="F138" s="502"/>
      <c r="G138" s="476"/>
      <c r="H138" s="1" t="s">
        <v>19</v>
      </c>
      <c r="I138" s="1">
        <f t="shared" si="5"/>
        <v>0</v>
      </c>
    </row>
    <row r="139" spans="1:9" s="475" customFormat="1" ht="12" customHeight="1">
      <c r="A139" s="1">
        <v>138</v>
      </c>
      <c r="B139" s="497" t="str">
        <f t="shared" si="4"/>
        <v xml:space="preserve"> </v>
      </c>
      <c r="C139" s="502"/>
      <c r="D139" s="502"/>
      <c r="E139" s="502"/>
      <c r="F139" s="502"/>
      <c r="G139" s="476"/>
      <c r="H139" s="1" t="s">
        <v>19</v>
      </c>
      <c r="I139" s="1">
        <f t="shared" si="5"/>
        <v>0</v>
      </c>
    </row>
    <row r="140" spans="1:9" s="475" customFormat="1" ht="12" customHeight="1">
      <c r="A140" s="1">
        <v>139</v>
      </c>
      <c r="B140" s="497" t="str">
        <f t="shared" si="4"/>
        <v xml:space="preserve"> </v>
      </c>
      <c r="C140" s="502"/>
      <c r="D140" s="502"/>
      <c r="E140" s="502"/>
      <c r="F140" s="502"/>
      <c r="G140" s="476"/>
      <c r="H140" s="1" t="s">
        <v>19</v>
      </c>
      <c r="I140" s="1">
        <f t="shared" si="5"/>
        <v>0</v>
      </c>
    </row>
    <row r="141" spans="1:9" s="475" customFormat="1" ht="12" customHeight="1">
      <c r="A141" s="1">
        <v>140</v>
      </c>
      <c r="B141" s="497" t="str">
        <f t="shared" si="4"/>
        <v xml:space="preserve"> </v>
      </c>
      <c r="C141" s="502"/>
      <c r="D141" s="502"/>
      <c r="E141" s="502"/>
      <c r="F141" s="502"/>
      <c r="G141" s="476"/>
      <c r="H141" s="1" t="s">
        <v>19</v>
      </c>
      <c r="I141" s="1">
        <f t="shared" si="5"/>
        <v>0</v>
      </c>
    </row>
    <row r="142" spans="1:9" s="475" customFormat="1" ht="12" customHeight="1">
      <c r="A142" s="1">
        <v>141</v>
      </c>
      <c r="B142" s="497" t="str">
        <f t="shared" si="4"/>
        <v xml:space="preserve"> </v>
      </c>
      <c r="C142" s="502"/>
      <c r="D142" s="502"/>
      <c r="E142" s="502"/>
      <c r="F142" s="502"/>
      <c r="G142" s="476"/>
      <c r="H142" s="1" t="s">
        <v>19</v>
      </c>
      <c r="I142" s="1">
        <f t="shared" si="5"/>
        <v>0</v>
      </c>
    </row>
    <row r="143" spans="1:9" s="475" customFormat="1" ht="12" customHeight="1">
      <c r="A143" s="1">
        <v>142</v>
      </c>
      <c r="B143" s="497" t="str">
        <f t="shared" si="4"/>
        <v xml:space="preserve"> </v>
      </c>
      <c r="C143" s="502"/>
      <c r="D143" s="502"/>
      <c r="E143" s="502"/>
      <c r="F143" s="502"/>
      <c r="G143" s="476"/>
      <c r="H143" s="1" t="s">
        <v>19</v>
      </c>
      <c r="I143" s="1">
        <f t="shared" si="5"/>
        <v>0</v>
      </c>
    </row>
    <row r="144" spans="1:9" s="475" customFormat="1" ht="12" customHeight="1">
      <c r="A144" s="1">
        <v>143</v>
      </c>
      <c r="B144" s="497" t="str">
        <f t="shared" si="4"/>
        <v xml:space="preserve"> </v>
      </c>
      <c r="C144" s="502"/>
      <c r="D144" s="502"/>
      <c r="E144" s="502"/>
      <c r="F144" s="502"/>
      <c r="G144" s="476"/>
      <c r="H144" s="1" t="s">
        <v>19</v>
      </c>
      <c r="I144" s="1">
        <f t="shared" si="5"/>
        <v>0</v>
      </c>
    </row>
    <row r="145" spans="1:9" s="475" customFormat="1" ht="12" customHeight="1">
      <c r="A145" s="1">
        <v>144</v>
      </c>
      <c r="B145" s="497" t="str">
        <f t="shared" si="4"/>
        <v xml:space="preserve"> </v>
      </c>
      <c r="C145" s="502"/>
      <c r="D145" s="502"/>
      <c r="E145" s="502"/>
      <c r="F145" s="502"/>
      <c r="G145" s="476"/>
      <c r="H145" s="1" t="s">
        <v>19</v>
      </c>
      <c r="I145" s="1">
        <f t="shared" si="5"/>
        <v>0</v>
      </c>
    </row>
    <row r="146" spans="1:9" s="475" customFormat="1" ht="12" customHeight="1">
      <c r="A146" s="1">
        <v>145</v>
      </c>
      <c r="B146" s="497" t="str">
        <f t="shared" si="4"/>
        <v xml:space="preserve"> </v>
      </c>
      <c r="C146" s="502"/>
      <c r="D146" s="502"/>
      <c r="E146" s="502"/>
      <c r="F146" s="502"/>
      <c r="G146" s="476"/>
      <c r="H146" s="1" t="s">
        <v>19</v>
      </c>
      <c r="I146" s="1">
        <f t="shared" si="5"/>
        <v>0</v>
      </c>
    </row>
    <row r="147" spans="1:9" s="475" customFormat="1" ht="12" customHeight="1">
      <c r="A147" s="1">
        <v>146</v>
      </c>
      <c r="B147" s="497" t="str">
        <f t="shared" si="4"/>
        <v xml:space="preserve"> </v>
      </c>
      <c r="C147" s="502"/>
      <c r="D147" s="502"/>
      <c r="E147" s="502"/>
      <c r="F147" s="502"/>
      <c r="G147" s="476"/>
      <c r="H147" s="1" t="s">
        <v>19</v>
      </c>
      <c r="I147" s="1">
        <f t="shared" si="5"/>
        <v>0</v>
      </c>
    </row>
    <row r="148" spans="1:9" s="475" customFormat="1" ht="12" customHeight="1">
      <c r="A148" s="1">
        <v>147</v>
      </c>
      <c r="B148" s="497" t="str">
        <f t="shared" si="4"/>
        <v xml:space="preserve"> </v>
      </c>
      <c r="C148" s="502"/>
      <c r="D148" s="502"/>
      <c r="E148" s="502"/>
      <c r="F148" s="502"/>
      <c r="G148" s="476"/>
      <c r="H148" s="1" t="s">
        <v>19</v>
      </c>
      <c r="I148" s="1">
        <f t="shared" si="5"/>
        <v>0</v>
      </c>
    </row>
    <row r="149" spans="1:9" s="475" customFormat="1" ht="12" customHeight="1">
      <c r="A149" s="1">
        <v>148</v>
      </c>
      <c r="B149" s="497" t="str">
        <f t="shared" si="4"/>
        <v xml:space="preserve"> </v>
      </c>
      <c r="C149" s="502"/>
      <c r="D149" s="502"/>
      <c r="E149" s="502"/>
      <c r="F149" s="502"/>
      <c r="G149" s="476"/>
      <c r="H149" s="1" t="s">
        <v>19</v>
      </c>
      <c r="I149" s="1">
        <f t="shared" si="5"/>
        <v>0</v>
      </c>
    </row>
    <row r="150" spans="1:9" s="475" customFormat="1" ht="12" customHeight="1">
      <c r="A150" s="1">
        <v>149</v>
      </c>
      <c r="B150" s="497" t="str">
        <f t="shared" si="4"/>
        <v xml:space="preserve"> </v>
      </c>
      <c r="C150" s="502"/>
      <c r="D150" s="502"/>
      <c r="E150" s="502"/>
      <c r="F150" s="502"/>
      <c r="G150" s="476"/>
      <c r="H150" s="1" t="s">
        <v>19</v>
      </c>
      <c r="I150" s="1">
        <f t="shared" si="5"/>
        <v>0</v>
      </c>
    </row>
    <row r="151" spans="1:9" s="475" customFormat="1" ht="12" customHeight="1">
      <c r="A151" s="1">
        <v>150</v>
      </c>
      <c r="B151" s="497" t="str">
        <f t="shared" si="4"/>
        <v xml:space="preserve"> </v>
      </c>
      <c r="C151" s="502"/>
      <c r="D151" s="502"/>
      <c r="E151" s="502"/>
      <c r="F151" s="502"/>
      <c r="G151" s="476"/>
      <c r="H151" s="1" t="s">
        <v>19</v>
      </c>
      <c r="I151" s="1">
        <f t="shared" si="5"/>
        <v>0</v>
      </c>
    </row>
    <row r="152" spans="1:9" ht="12" customHeight="1">
      <c r="H152" s="1"/>
    </row>
    <row r="153" spans="1:9" ht="12" customHeight="1">
      <c r="H153" s="1"/>
    </row>
    <row r="154" spans="1:9" ht="12" customHeight="1">
      <c r="H154" s="1"/>
    </row>
    <row r="155" spans="1:9" ht="12" customHeight="1">
      <c r="H155" s="1"/>
    </row>
    <row r="156" spans="1:9" ht="12" customHeight="1">
      <c r="H156" s="1"/>
    </row>
    <row r="157" spans="1:9" ht="12" customHeight="1">
      <c r="H157" s="1"/>
    </row>
    <row r="158" spans="1:9" ht="12" customHeight="1">
      <c r="H158" s="1"/>
    </row>
    <row r="159" spans="1:9" ht="12" customHeight="1">
      <c r="H159" s="1"/>
    </row>
    <row r="160" spans="1:9" ht="12" customHeight="1">
      <c r="H160" s="1"/>
    </row>
  </sheetData>
  <customSheetViews>
    <customSheetView guid="{EBCA391C-5ACD-495F-8ED1-C69B7D739622}">
      <selection activeCell="B1" sqref="B1"/>
      <pageMargins left="0" right="0" top="0" bottom="0" header="0" footer="0"/>
      <headerFooter alignWithMargins="0"/>
    </customSheetView>
  </customSheetViews>
  <phoneticPr fontId="0" type="noConversion"/>
  <pageMargins left="0.75" right="0.75" top="1" bottom="1" header="0.5" footer="0.5"/>
  <pageSetup paperSize="0" orientation="portrait" horizontalDpi="0" verticalDpi="0" copies="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B8C97F39743A4B9C598F8AFF8C4D45" ma:contentTypeVersion="14" ma:contentTypeDescription="Create a new document." ma:contentTypeScope="" ma:versionID="655415328ef8f3361e55ed12a9f342b2">
  <xsd:schema xmlns:xsd="http://www.w3.org/2001/XMLSchema" xmlns:xs="http://www.w3.org/2001/XMLSchema" xmlns:p="http://schemas.microsoft.com/office/2006/metadata/properties" xmlns:ns2="33734760-6b03-432e-84b7-4ed6a61e9504" xmlns:ns3="6054062d-ff49-45ea-8581-24872d8d3652" targetNamespace="http://schemas.microsoft.com/office/2006/metadata/properties" ma:root="true" ma:fieldsID="5a656a84b2a898bbe8cf3568ba3108ff" ns2:_="" ns3:_="">
    <xsd:import namespace="33734760-6b03-432e-84b7-4ed6a61e9504"/>
    <xsd:import namespace="6054062d-ff49-45ea-8581-24872d8d365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34760-6b03-432e-84b7-4ed6a61e95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8593d89-eaca-4e69-8bc1-af8552ccee1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4062d-ff49-45ea-8581-24872d8d365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a24b071-d305-4540-b195-096d61d52076}" ma:internalName="TaxCatchAll" ma:showField="CatchAllData" ma:web="6054062d-ff49-45ea-8581-24872d8d36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54062d-ff49-45ea-8581-24872d8d3652" xsi:nil="true"/>
    <lcf76f155ced4ddcb4097134ff3c332f xmlns="33734760-6b03-432e-84b7-4ed6a61e95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39C941-5E18-49F7-81DE-BD3BA7FD1E48}"/>
</file>

<file path=customXml/itemProps2.xml><?xml version="1.0" encoding="utf-8"?>
<ds:datastoreItem xmlns:ds="http://schemas.openxmlformats.org/officeDocument/2006/customXml" ds:itemID="{0AE405F7-385C-4EF9-8C5C-5898CEA994E2}"/>
</file>

<file path=customXml/itemProps3.xml><?xml version="1.0" encoding="utf-8"?>
<ds:datastoreItem xmlns:ds="http://schemas.openxmlformats.org/officeDocument/2006/customXml" ds:itemID="{F03AFF4F-3ADF-4FBF-88E7-2BA8626ACAF1}"/>
</file>

<file path=docProps/app.xml><?xml version="1.0" encoding="utf-8"?>
<Properties xmlns="http://schemas.openxmlformats.org/officeDocument/2006/extended-properties" xmlns:vt="http://schemas.openxmlformats.org/officeDocument/2006/docPropsVTypes">
  <Application>Microsoft Excel Online</Application>
  <Manager/>
  <Company>Mass. Department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FY17 END OF YEAR FINANCIAL REPORT</dc:title>
  <dc:subject/>
  <dc:creator>O'Donnell, Robert F (DOE)</dc:creator>
  <cp:keywords/>
  <dc:description/>
  <cp:lastModifiedBy>Tom Gray</cp:lastModifiedBy>
  <cp:revision/>
  <dcterms:created xsi:type="dcterms:W3CDTF">1998-06-12T16:45:06Z</dcterms:created>
  <dcterms:modified xsi:type="dcterms:W3CDTF">2025-06-13T00:10:53Z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0x010100F4B8C97F39743A4B9C598F8AFF8C4D45</vt:lpwstr>
  </property>
  <property fmtid="{D5CDD505-2E9C-101B-9397-08002B2CF9AE}" pid="3" name="MediaServiceImageTags">
    <vt:lpwstr/>
  </property>
</Properties>
</file>