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06"/>
  <workbookPr/>
  <mc:AlternateContent xmlns:mc="http://schemas.openxmlformats.org/markup-compatibility/2006">
    <mc:Choice Requires="x15">
      <x15ac:absPath xmlns:x15ac="http://schemas.microsoft.com/office/spreadsheetml/2010/11/ac" url="https://lunenburgma.sharepoint.com/sites/accountant/Shared Documents/FY26/Budget Prep/"/>
    </mc:Choice>
  </mc:AlternateContent>
  <xr:revisionPtr revIDLastSave="20" documentId="8_{4B0E9B56-D7FF-42D6-BA0B-6B97867578CA}" xr6:coauthVersionLast="47" xr6:coauthVersionMax="47" xr10:uidLastSave="{E71C7A40-17C2-466B-A1B5-4FE8B0744109}"/>
  <bookViews>
    <workbookView xWindow="-110" yWindow="-110" windowWidth="19420" windowHeight="10300" activeTab="1" xr2:uid="{0F1C11A5-2E29-4183-99A6-254A3AB85CF0}"/>
  </bookViews>
  <sheets>
    <sheet name="Sheet1" sheetId="1" r:id="rId1"/>
    <sheet name="Sheet3" sheetId="3" r:id="rId2"/>
  </sheets>
  <definedNames>
    <definedName name="CSData">#REF!</definedName>
    <definedName name="Selec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3" l="1"/>
  <c r="F16" i="1"/>
  <c r="C34" i="1"/>
  <c r="G29" i="1" l="1"/>
  <c r="F29" i="1" l="1"/>
  <c r="F20" i="1"/>
  <c r="F10" i="3" l="1"/>
  <c r="C28" i="1"/>
  <c r="E27" i="1"/>
  <c r="C25" i="1" l="1"/>
  <c r="C26" i="1" l="1"/>
  <c r="E26" i="1" s="1"/>
  <c r="E8" i="1"/>
  <c r="E10" i="1"/>
  <c r="E12" i="1"/>
  <c r="E18" i="1"/>
  <c r="E20" i="1"/>
  <c r="E6" i="1"/>
  <c r="C16" i="1"/>
  <c r="C29" i="1" l="1"/>
  <c r="C22" i="1"/>
  <c r="D14" i="1" l="1"/>
  <c r="D16" i="1" l="1"/>
  <c r="D22" i="1" s="1"/>
  <c r="E22" i="1" s="1"/>
  <c r="E25" i="1" s="1"/>
  <c r="E31" i="1" s="1"/>
  <c r="E14" i="1"/>
  <c r="J30" i="3"/>
  <c r="J29" i="3"/>
  <c r="J28" i="3"/>
  <c r="I30" i="3"/>
  <c r="I31" i="3"/>
  <c r="I28" i="3"/>
  <c r="H31" i="3"/>
  <c r="H29" i="3"/>
  <c r="H30" i="3"/>
  <c r="H28" i="3"/>
  <c r="F31" i="3"/>
  <c r="C31" i="3"/>
  <c r="D31" i="3"/>
  <c r="E31" i="3"/>
  <c r="G31" i="3"/>
  <c r="G32" i="3" s="1"/>
  <c r="H24" i="3"/>
  <c r="H23" i="3"/>
  <c r="I23" i="3"/>
  <c r="I24" i="3"/>
  <c r="I22" i="3"/>
  <c r="H22" i="3"/>
  <c r="H4" i="3"/>
  <c r="F22" i="3"/>
  <c r="F25" i="3" s="1"/>
  <c r="I25" i="3" s="1"/>
  <c r="E22" i="3"/>
  <c r="E25" i="3" s="1"/>
  <c r="D38" i="1" l="1"/>
  <c r="D34" i="1"/>
  <c r="E16" i="1"/>
  <c r="D36" i="1"/>
  <c r="H25" i="3"/>
  <c r="D40" i="1" l="1"/>
  <c r="F15" i="3"/>
  <c r="I15" i="3" s="1"/>
  <c r="I5" i="3"/>
  <c r="I6" i="3"/>
  <c r="I7" i="3"/>
  <c r="I10" i="3"/>
  <c r="I13" i="3"/>
  <c r="I4" i="3"/>
  <c r="H13" i="3"/>
  <c r="H5" i="3"/>
  <c r="H6" i="3"/>
  <c r="H7" i="3"/>
  <c r="E17" i="3"/>
  <c r="D17" i="3"/>
  <c r="C17" i="3"/>
  <c r="H10" i="3" l="1"/>
  <c r="H15" i="3"/>
  <c r="F17" i="3"/>
  <c r="I17" i="3" s="1"/>
  <c r="H17" i="3" l="1"/>
  <c r="E38" i="1" l="1"/>
  <c r="E36" i="1"/>
  <c r="E34" i="1"/>
  <c r="E4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tc={4E96D12C-D69D-4F10-A959-E929A98134CA}</author>
    <author>Ezequiel Ayala</author>
  </authors>
  <commentList>
    <comment ref="D20" authorId="0" shapeId="0" xr:uid="{4E96D12C-D69D-4F10-A959-E929A98134CA}">
      <text>
        <t>[Threaded comment]
Your version of Excel allows you to read this threaded comment; however, any edits to it will get removed if the file is opened in a newer version of Excel. Learn more: https://go.microsoft.com/fwlink/?linkid=870924
Comment:
    Average prior 3 years - Include $50K MVE</t>
      </text>
    </comment>
    <comment ref="F36" authorId="1" shapeId="0" xr:uid="{04FD9C7E-4A88-47CC-9C32-3B61BED260A2}">
      <text>
        <r>
          <rPr>
            <b/>
            <sz val="9"/>
            <color indexed="81"/>
            <rFont val="Tahoma"/>
            <charset val="1"/>
          </rPr>
          <t>Ezequiel Ayala:</t>
        </r>
        <r>
          <rPr>
            <sz val="9"/>
            <color indexed="81"/>
            <rFont val="Tahoma"/>
            <charset val="1"/>
          </rPr>
          <t xml:space="preserve">
Due to agreement, FY26 dist. Will be 904,098.31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tc={252AC7AB-BDFE-43CD-838F-AC01A8A98453}</author>
    <author>Ezequiel Ayala</author>
  </authors>
  <commentList>
    <comment ref="F15" authorId="0" shapeId="0" xr:uid="{252AC7AB-BDFE-43CD-838F-AC01A8A98453}">
      <text>
        <t>[Threaded comment]
Your version of Excel allows you to read this threaded comment; however, any edits to it will get removed if the file is opened in a newer version of Excel. Learn more: https://go.microsoft.com/fwlink/?linkid=870924
Comment:
    Average prior 3 years - Include $50K MVE</t>
      </text>
    </comment>
    <comment ref="E29" authorId="1" shapeId="0" xr:uid="{5F8A6556-A541-465D-A2B0-A9F5519C3E60}">
      <text>
        <r>
          <rPr>
            <b/>
            <sz val="9"/>
            <color indexed="81"/>
            <rFont val="Tahoma"/>
            <family val="2"/>
          </rPr>
          <t>Ezequiel Ayala:</t>
        </r>
        <r>
          <rPr>
            <sz val="9"/>
            <color indexed="81"/>
            <rFont val="Tahoma"/>
            <family val="2"/>
          </rPr>
          <t xml:space="preserve">
Includes Override</t>
        </r>
      </text>
    </comment>
  </commentList>
</comments>
</file>

<file path=xl/sharedStrings.xml><?xml version="1.0" encoding="utf-8"?>
<sst xmlns="http://schemas.openxmlformats.org/spreadsheetml/2006/main" count="61" uniqueCount="55">
  <si>
    <t>DRAFT ESTIMATE FY '26</t>
  </si>
  <si>
    <t>FY '25</t>
  </si>
  <si>
    <t>FY '26</t>
  </si>
  <si>
    <t>Variance +(-)</t>
  </si>
  <si>
    <t>Total Cherry Sheet/State Aide</t>
  </si>
  <si>
    <t>Minus Library Offsets</t>
  </si>
  <si>
    <t xml:space="preserve">Minus Sweep of Charter Tuition </t>
  </si>
  <si>
    <t xml:space="preserve">Minus Sweep of School Choice </t>
  </si>
  <si>
    <t>Minus Chargebacks</t>
  </si>
  <si>
    <t>Net Receipts -  Cherry Sheet/State Aide</t>
  </si>
  <si>
    <t>A</t>
  </si>
  <si>
    <t>Minus Overlay</t>
  </si>
  <si>
    <t>Net Receipts - Local</t>
  </si>
  <si>
    <t>Total Net Receipts</t>
  </si>
  <si>
    <t>FY26 Projected Total Tax Levy</t>
  </si>
  <si>
    <t>Net Increase</t>
  </si>
  <si>
    <r>
      <t xml:space="preserve">Prior Year Levy Limit  </t>
    </r>
    <r>
      <rPr>
        <b/>
        <sz val="12"/>
        <color theme="1"/>
        <rFont val="Aptos Narrow"/>
        <family val="2"/>
        <scheme val="minor"/>
      </rPr>
      <t>LESS</t>
    </r>
    <r>
      <rPr>
        <sz val="12"/>
        <color theme="1"/>
        <rFont val="Aptos Narrow"/>
        <family val="2"/>
        <scheme val="minor"/>
      </rPr>
      <t xml:space="preserve"> Debt Exclusions</t>
    </r>
  </si>
  <si>
    <t xml:space="preserve">2 1/2% Increase  </t>
  </si>
  <si>
    <t>Estimated New Growth</t>
  </si>
  <si>
    <t>Debt Exclusions</t>
  </si>
  <si>
    <t>Estimated Tax Levy</t>
  </si>
  <si>
    <t>ALL NEW FY '26 REVENUES</t>
  </si>
  <si>
    <t>FY25 total $$</t>
  </si>
  <si>
    <t>FY25 % Breakdown</t>
  </si>
  <si>
    <t>FY26 Revenue Distribution</t>
  </si>
  <si>
    <t>Town Dept %</t>
  </si>
  <si>
    <t>School Dept %</t>
  </si>
  <si>
    <t>Tech School %</t>
  </si>
  <si>
    <t>Total</t>
  </si>
  <si>
    <t>(1) Awaiting final discussion and sign off by BoA</t>
  </si>
  <si>
    <t>Revenues</t>
  </si>
  <si>
    <t>Levy</t>
  </si>
  <si>
    <t>FY23 BUDGETED</t>
  </si>
  <si>
    <t>FY24 BUDGETED</t>
  </si>
  <si>
    <t>FY25 BUDGETED</t>
  </si>
  <si>
    <t>FY26 PROJECTED</t>
  </si>
  <si>
    <t>$ Change from FY25 to FY26</t>
  </si>
  <si>
    <t>% Change from FY25 to FY26</t>
  </si>
  <si>
    <t>Prior Year Levy Limit</t>
  </si>
  <si>
    <t xml:space="preserve">Override </t>
  </si>
  <si>
    <t>Total Tax Levy: Total</t>
  </si>
  <si>
    <t>Cherry Sheet Receipts</t>
  </si>
  <si>
    <t>Local Receipts</t>
  </si>
  <si>
    <t>Charges</t>
  </si>
  <si>
    <t>State Assessments and Charges</t>
  </si>
  <si>
    <t>School Choice Sending Tuition</t>
  </si>
  <si>
    <t>Charter School Sending Tuition</t>
  </si>
  <si>
    <t>Total Cherry Sheet Assessments</t>
  </si>
  <si>
    <t>$ Change from FY24 to FY25</t>
  </si>
  <si>
    <t>% Change from FY24 to FY25</t>
  </si>
  <si>
    <t>% of Budget</t>
  </si>
  <si>
    <t>Town</t>
  </si>
  <si>
    <t>School Dept</t>
  </si>
  <si>
    <t>MONTACHUSETT REGIONAL VOCATIONAL</t>
  </si>
  <si>
    <t>Total Omnibus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</si>
</sst>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&quot;$&quot;#,##0.00"/>
  </numFmts>
  <fonts count="1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Aptos Narrow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98">
    <xf numFmtId="0" fontId="0" fillId="0" borderId="0" xfId="0"/>
    <xf numFmtId="44" fontId="4" fillId="0" borderId="0" xfId="4" applyFont="1" applyFill="1" applyBorder="1" applyAlignment="1">
      <alignment horizontal="right"/>
    </xf>
    <xf numFmtId="44" fontId="0" fillId="0" borderId="0" xfId="1" applyFont="1"/>
    <xf numFmtId="44" fontId="2" fillId="0" borderId="0" xfId="1" applyFont="1" applyBorder="1"/>
    <xf numFmtId="44" fontId="0" fillId="0" borderId="1" xfId="1" applyFont="1" applyBorder="1"/>
    <xf numFmtId="44" fontId="4" fillId="0" borderId="0" xfId="1" applyFont="1" applyFill="1" applyBorder="1" applyAlignment="1">
      <alignment horizontal="right"/>
    </xf>
    <xf numFmtId="44" fontId="0" fillId="0" borderId="1" xfId="0" applyNumberFormat="1" applyBorder="1"/>
    <xf numFmtId="9" fontId="0" fillId="0" borderId="0" xfId="2" applyFont="1"/>
    <xf numFmtId="9" fontId="0" fillId="0" borderId="1" xfId="2" applyFont="1" applyBorder="1"/>
    <xf numFmtId="0" fontId="0" fillId="0" borderId="1" xfId="0" applyBorder="1"/>
    <xf numFmtId="0" fontId="0" fillId="0" borderId="5" xfId="0" applyBorder="1"/>
    <xf numFmtId="9" fontId="0" fillId="0" borderId="0" xfId="2" applyFont="1" applyBorder="1"/>
    <xf numFmtId="0" fontId="0" fillId="0" borderId="6" xfId="0" applyBorder="1"/>
    <xf numFmtId="44" fontId="0" fillId="0" borderId="0" xfId="1" applyFont="1" applyBorder="1"/>
    <xf numFmtId="44" fontId="0" fillId="0" borderId="0" xfId="0" applyNumberFormat="1"/>
    <xf numFmtId="0" fontId="0" fillId="0" borderId="7" xfId="0" applyBorder="1"/>
    <xf numFmtId="0" fontId="0" fillId="0" borderId="8" xfId="0" applyBorder="1"/>
    <xf numFmtId="44" fontId="0" fillId="0" borderId="8" xfId="1" applyFont="1" applyBorder="1"/>
    <xf numFmtId="0" fontId="0" fillId="0" borderId="9" xfId="0" applyBorder="1"/>
    <xf numFmtId="0" fontId="2" fillId="0" borderId="0" xfId="0" applyFont="1"/>
    <xf numFmtId="44" fontId="2" fillId="0" borderId="0" xfId="1" applyFont="1" applyFill="1" applyBorder="1"/>
    <xf numFmtId="9" fontId="2" fillId="0" borderId="0" xfId="2" applyFont="1" applyFill="1" applyBorder="1"/>
    <xf numFmtId="9" fontId="2" fillId="0" borderId="6" xfId="2" applyFont="1" applyFill="1" applyBorder="1"/>
    <xf numFmtId="9" fontId="0" fillId="0" borderId="6" xfId="2" applyFont="1" applyBorder="1"/>
    <xf numFmtId="9" fontId="0" fillId="0" borderId="9" xfId="2" applyFont="1" applyBorder="1"/>
    <xf numFmtId="0" fontId="0" fillId="0" borderId="11" xfId="0" applyBorder="1"/>
    <xf numFmtId="44" fontId="0" fillId="0" borderId="11" xfId="1" applyFont="1" applyBorder="1"/>
    <xf numFmtId="44" fontId="0" fillId="0" borderId="11" xfId="0" applyNumberFormat="1" applyBorder="1"/>
    <xf numFmtId="9" fontId="0" fillId="0" borderId="10" xfId="2" applyFont="1" applyBorder="1"/>
    <xf numFmtId="9" fontId="0" fillId="0" borderId="12" xfId="2" applyFont="1" applyBorder="1"/>
    <xf numFmtId="9" fontId="0" fillId="0" borderId="11" xfId="2" applyFont="1" applyBorder="1"/>
    <xf numFmtId="44" fontId="0" fillId="2" borderId="0" xfId="1" applyFont="1" applyFill="1" applyBorder="1"/>
    <xf numFmtId="10" fontId="0" fillId="0" borderId="6" xfId="2" applyNumberFormat="1" applyFont="1" applyBorder="1"/>
    <xf numFmtId="10" fontId="0" fillId="0" borderId="12" xfId="2" applyNumberFormat="1" applyFont="1" applyBorder="1"/>
    <xf numFmtId="44" fontId="0" fillId="0" borderId="8" xfId="0" applyNumberFormat="1" applyBorder="1"/>
    <xf numFmtId="9" fontId="0" fillId="0" borderId="8" xfId="2" applyFont="1" applyBorder="1"/>
    <xf numFmtId="44" fontId="0" fillId="2" borderId="1" xfId="1" applyFont="1" applyFill="1" applyBorder="1"/>
    <xf numFmtId="164" fontId="9" fillId="0" borderId="0" xfId="0" applyNumberFormat="1" applyFont="1"/>
    <xf numFmtId="0" fontId="9" fillId="0" borderId="0" xfId="0" applyFont="1"/>
    <xf numFmtId="0" fontId="10" fillId="0" borderId="0" xfId="0" applyFont="1"/>
    <xf numFmtId="0" fontId="9" fillId="0" borderId="11" xfId="0" applyFont="1" applyBorder="1"/>
    <xf numFmtId="0" fontId="9" fillId="0" borderId="1" xfId="0" applyFont="1" applyBorder="1"/>
    <xf numFmtId="0" fontId="9" fillId="0" borderId="13" xfId="0" applyFont="1" applyBorder="1"/>
    <xf numFmtId="0" fontId="12" fillId="0" borderId="0" xfId="0" applyFont="1"/>
    <xf numFmtId="44" fontId="9" fillId="0" borderId="0" xfId="1" applyFont="1"/>
    <xf numFmtId="44" fontId="9" fillId="0" borderId="11" xfId="1" applyFont="1" applyBorder="1"/>
    <xf numFmtId="44" fontId="9" fillId="0" borderId="0" xfId="1" applyFont="1" applyBorder="1"/>
    <xf numFmtId="44" fontId="9" fillId="0" borderId="0" xfId="1" applyFont="1" applyAlignment="1">
      <alignment horizontal="center"/>
    </xf>
    <xf numFmtId="44" fontId="8" fillId="0" borderId="0" xfId="1" applyFont="1" applyFill="1" applyBorder="1" applyAlignment="1">
      <alignment horizontal="right"/>
    </xf>
    <xf numFmtId="44" fontId="8" fillId="0" borderId="0" xfId="1" applyFont="1" applyAlignment="1">
      <alignment horizontal="right"/>
    </xf>
    <xf numFmtId="164" fontId="9" fillId="0" borderId="1" xfId="1" applyNumberFormat="1" applyFont="1" applyBorder="1"/>
    <xf numFmtId="164" fontId="10" fillId="0" borderId="0" xfId="0" applyNumberFormat="1" applyFont="1" applyAlignment="1">
      <alignment horizontal="right"/>
    </xf>
    <xf numFmtId="44" fontId="9" fillId="0" borderId="14" xfId="1" applyFont="1" applyBorder="1" applyAlignment="1">
      <alignment horizontal="right"/>
    </xf>
    <xf numFmtId="44" fontId="12" fillId="0" borderId="1" xfId="1" applyFont="1" applyBorder="1"/>
    <xf numFmtId="164" fontId="12" fillId="0" borderId="0" xfId="0" applyNumberFormat="1" applyFont="1"/>
    <xf numFmtId="44" fontId="12" fillId="0" borderId="0" xfId="1" applyFont="1"/>
    <xf numFmtId="44" fontId="12" fillId="0" borderId="5" xfId="1" applyFont="1" applyBorder="1"/>
    <xf numFmtId="44" fontId="12" fillId="0" borderId="0" xfId="1" applyFont="1" applyBorder="1"/>
    <xf numFmtId="164" fontId="12" fillId="0" borderId="8" xfId="0" applyNumberFormat="1" applyFont="1" applyBorder="1"/>
    <xf numFmtId="44" fontId="11" fillId="0" borderId="1" xfId="1" applyFont="1" applyBorder="1"/>
    <xf numFmtId="164" fontId="10" fillId="0" borderId="0" xfId="1" applyNumberFormat="1" applyFont="1" applyFill="1" applyBorder="1" applyAlignment="1">
      <alignment horizontal="center"/>
    </xf>
    <xf numFmtId="44" fontId="11" fillId="0" borderId="0" xfId="1" applyFont="1" applyBorder="1"/>
    <xf numFmtId="165" fontId="12" fillId="0" borderId="0" xfId="0" applyNumberFormat="1" applyFont="1"/>
    <xf numFmtId="164" fontId="10" fillId="0" borderId="1" xfId="0" applyNumberFormat="1" applyFont="1" applyBorder="1" applyAlignment="1">
      <alignment horizontal="right"/>
    </xf>
    <xf numFmtId="44" fontId="9" fillId="0" borderId="5" xfId="1" applyFont="1" applyBorder="1"/>
    <xf numFmtId="44" fontId="10" fillId="0" borderId="15" xfId="1" applyFont="1" applyBorder="1"/>
    <xf numFmtId="44" fontId="10" fillId="0" borderId="16" xfId="1" applyFont="1" applyBorder="1" applyAlignment="1">
      <alignment horizontal="right"/>
    </xf>
    <xf numFmtId="164" fontId="10" fillId="0" borderId="16" xfId="0" applyNumberFormat="1" applyFont="1" applyBorder="1"/>
    <xf numFmtId="44" fontId="12" fillId="0" borderId="7" xfId="1" quotePrefix="1" applyFont="1" applyBorder="1"/>
    <xf numFmtId="164" fontId="12" fillId="0" borderId="9" xfId="0" applyNumberFormat="1" applyFont="1" applyBorder="1"/>
    <xf numFmtId="44" fontId="10" fillId="0" borderId="13" xfId="1" applyFont="1" applyBorder="1" applyAlignment="1">
      <alignment horizontal="center"/>
    </xf>
    <xf numFmtId="164" fontId="10" fillId="0" borderId="13" xfId="0" applyNumberFormat="1" applyFont="1" applyBorder="1" applyAlignment="1">
      <alignment horizontal="center"/>
    </xf>
    <xf numFmtId="9" fontId="9" fillId="0" borderId="1" xfId="0" applyNumberFormat="1" applyFont="1" applyBorder="1" applyAlignment="1">
      <alignment horizontal="right"/>
    </xf>
    <xf numFmtId="164" fontId="10" fillId="0" borderId="0" xfId="0" applyNumberFormat="1" applyFont="1"/>
    <xf numFmtId="10" fontId="9" fillId="0" borderId="0" xfId="0" applyNumberFormat="1" applyFont="1"/>
    <xf numFmtId="10" fontId="12" fillId="0" borderId="0" xfId="0" applyNumberFormat="1" applyFont="1"/>
    <xf numFmtId="164" fontId="10" fillId="3" borderId="13" xfId="0" applyNumberFormat="1" applyFont="1" applyFill="1" applyBorder="1" applyAlignment="1">
      <alignment horizontal="center"/>
    </xf>
    <xf numFmtId="44" fontId="12" fillId="3" borderId="0" xfId="1" applyFont="1" applyFill="1"/>
    <xf numFmtId="44" fontId="12" fillId="3" borderId="11" xfId="1" applyFont="1" applyFill="1" applyBorder="1"/>
    <xf numFmtId="44" fontId="13" fillId="3" borderId="1" xfId="1" applyFont="1" applyFill="1" applyBorder="1"/>
    <xf numFmtId="0" fontId="10" fillId="3" borderId="13" xfId="0" applyFont="1" applyFill="1" applyBorder="1" applyAlignment="1">
      <alignment horizontal="center"/>
    </xf>
    <xf numFmtId="44" fontId="10" fillId="3" borderId="0" xfId="1" applyFont="1" applyFill="1"/>
    <xf numFmtId="44" fontId="13" fillId="3" borderId="0" xfId="1" applyFont="1" applyFill="1"/>
    <xf numFmtId="164" fontId="9" fillId="3" borderId="0" xfId="0" applyNumberFormat="1" applyFont="1" applyFill="1"/>
    <xf numFmtId="164" fontId="10" fillId="3" borderId="1" xfId="0" applyNumberFormat="1" applyFont="1" applyFill="1" applyBorder="1"/>
    <xf numFmtId="164" fontId="10" fillId="3" borderId="17" xfId="0" applyNumberFormat="1" applyFont="1" applyFill="1" applyBorder="1"/>
    <xf numFmtId="164" fontId="9" fillId="3" borderId="6" xfId="0" applyNumberFormat="1" applyFont="1" applyFill="1" applyBorder="1"/>
    <xf numFmtId="164" fontId="9" fillId="3" borderId="6" xfId="0" applyNumberFormat="1" applyFont="1" applyFill="1" applyBorder="1" applyAlignment="1">
      <alignment horizontal="right"/>
    </xf>
    <xf numFmtId="164" fontId="12" fillId="3" borderId="12" xfId="0" applyNumberFormat="1" applyFont="1" applyFill="1" applyBorder="1"/>
    <xf numFmtId="0" fontId="9" fillId="3" borderId="6" xfId="0" applyFont="1" applyFill="1" applyBorder="1" applyAlignment="1">
      <alignment horizontal="right"/>
    </xf>
    <xf numFmtId="44" fontId="12" fillId="0" borderId="0" xfId="0" applyNumberFormat="1" applyFont="1"/>
    <xf numFmtId="44" fontId="10" fillId="0" borderId="0" xfId="1" applyFont="1"/>
    <xf numFmtId="44" fontId="10" fillId="0" borderId="0" xfId="1" applyFont="1" applyAlignment="1">
      <alignment horizontal="center"/>
    </xf>
    <xf numFmtId="0" fontId="9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6">
    <cellStyle name="Currency" xfId="1" builtinId="4"/>
    <cellStyle name="Currency 2" xfId="4" xr:uid="{2E733B61-7A1F-47D2-BC91-5A2D1BAF8B92}"/>
    <cellStyle name="Currency 2 2" xfId="5" xr:uid="{C637E18A-889F-40AD-8046-D08ABB642D8A}"/>
    <cellStyle name="Normal" xfId="0" builtinId="0"/>
    <cellStyle name="Normal 2" xfId="3" xr:uid="{61944C6A-E569-4B80-9F2A-32A0A029FFE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zequiel Ayala" id="{FD3F5E7D-6FDB-430B-9E6D-E07F4CE22816}" userId="S::eayala@lunenburgma.gov::5d1ae147-a66c-4e3b-9c0a-32ad14096199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20" dT="2025-01-25T20:17:40.65" personId="{FD3F5E7D-6FDB-430B-9E6D-E07F4CE22816}" id="{4E96D12C-D69D-4F10-A959-E929A98134CA}">
    <text>Average prior 3 years - Include $50K MVE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F15" dT="2025-01-25T20:17:40.65" personId="{FD3F5E7D-6FDB-430B-9E6D-E07F4CE22816}" id="{252AC7AB-BDFE-43CD-838F-AC01A8A98453}">
    <text>Average prior 3 years - Include $50K MVE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D0A4F-C9B2-49D7-8F4A-FC0DBBE9BF0C}">
  <dimension ref="B2:I46"/>
  <sheetViews>
    <sheetView topLeftCell="B26" workbookViewId="0">
      <selection activeCell="E22" sqref="E22"/>
    </sheetView>
  </sheetViews>
  <sheetFormatPr defaultColWidth="9.140625" defaultRowHeight="15.75"/>
  <cols>
    <col min="1" max="1" width="9.140625" style="43"/>
    <col min="2" max="2" width="46.85546875" style="43" bestFit="1" customWidth="1"/>
    <col min="3" max="3" width="42.28515625" style="55" customWidth="1"/>
    <col min="4" max="4" width="30.42578125" style="54" bestFit="1" customWidth="1"/>
    <col min="5" max="5" width="28" style="54" bestFit="1" customWidth="1"/>
    <col min="6" max="6" width="21.140625" style="54" bestFit="1" customWidth="1"/>
    <col min="7" max="7" width="27.7109375" style="55" bestFit="1" customWidth="1"/>
    <col min="8" max="8" width="14.28515625" style="54" bestFit="1" customWidth="1"/>
    <col min="9" max="9" width="14.28515625" style="43" bestFit="1" customWidth="1"/>
    <col min="10" max="16384" width="9.140625" style="43"/>
  </cols>
  <sheetData>
    <row r="2" spans="2:8">
      <c r="B2" s="94" t="s">
        <v>0</v>
      </c>
      <c r="C2" s="94"/>
      <c r="D2" s="94"/>
      <c r="E2" s="94"/>
      <c r="F2" s="39"/>
      <c r="G2" s="91"/>
      <c r="H2" s="37"/>
    </row>
    <row r="3" spans="2:8">
      <c r="B3" s="39"/>
      <c r="C3" s="44"/>
      <c r="D3" s="37"/>
      <c r="E3" s="37"/>
      <c r="F3" s="37"/>
      <c r="G3" s="44"/>
      <c r="H3" s="43"/>
    </row>
    <row r="4" spans="2:8">
      <c r="B4" s="42"/>
      <c r="C4" s="70" t="s">
        <v>1</v>
      </c>
      <c r="D4" s="71" t="s">
        <v>2</v>
      </c>
      <c r="E4" s="76" t="s">
        <v>3</v>
      </c>
      <c r="F4" s="43"/>
      <c r="H4" s="43"/>
    </row>
    <row r="5" spans="2:8">
      <c r="B5" s="38"/>
      <c r="C5" s="47"/>
      <c r="D5" s="47"/>
      <c r="E5" s="77"/>
      <c r="F5" s="43"/>
      <c r="H5" s="43"/>
    </row>
    <row r="6" spans="2:8">
      <c r="B6" s="38" t="s">
        <v>4</v>
      </c>
      <c r="C6" s="44">
        <v>10761543</v>
      </c>
      <c r="D6" s="44">
        <v>11034268</v>
      </c>
      <c r="E6" s="77">
        <f>D6-C6</f>
        <v>272725</v>
      </c>
      <c r="F6" s="43"/>
      <c r="H6" s="43"/>
    </row>
    <row r="7" spans="2:8">
      <c r="B7" s="38"/>
      <c r="C7" s="44"/>
      <c r="D7" s="44"/>
      <c r="E7" s="77"/>
      <c r="F7" s="43"/>
      <c r="H7" s="43"/>
    </row>
    <row r="8" spans="2:8">
      <c r="B8" s="38" t="s">
        <v>5</v>
      </c>
      <c r="C8" s="44">
        <v>-34386</v>
      </c>
      <c r="D8" s="44">
        <v>-34448</v>
      </c>
      <c r="E8" s="77">
        <f>D8-C8</f>
        <v>-62</v>
      </c>
      <c r="F8" s="43"/>
      <c r="H8" s="43"/>
    </row>
    <row r="9" spans="2:8">
      <c r="B9" s="38"/>
      <c r="C9" s="44"/>
      <c r="D9" s="44"/>
      <c r="E9" s="77"/>
      <c r="F9" s="43"/>
      <c r="H9" s="43"/>
    </row>
    <row r="10" spans="2:8">
      <c r="B10" s="38" t="s">
        <v>6</v>
      </c>
      <c r="C10" s="44">
        <v>-182801</v>
      </c>
      <c r="D10" s="44">
        <v>-63585</v>
      </c>
      <c r="E10" s="77">
        <f>D10-C10</f>
        <v>119216</v>
      </c>
      <c r="F10" s="43"/>
      <c r="H10" s="43"/>
    </row>
    <row r="11" spans="2:8">
      <c r="B11" s="38"/>
      <c r="C11" s="44"/>
      <c r="D11" s="44"/>
      <c r="E11" s="77"/>
      <c r="F11" s="43"/>
      <c r="H11" s="43"/>
    </row>
    <row r="12" spans="2:8">
      <c r="B12" s="38" t="s">
        <v>7</v>
      </c>
      <c r="C12" s="44">
        <v>-94912</v>
      </c>
      <c r="D12" s="44">
        <v>-104835</v>
      </c>
      <c r="E12" s="77">
        <f>D12-C12</f>
        <v>-9923</v>
      </c>
      <c r="F12" s="43"/>
      <c r="H12" s="43"/>
    </row>
    <row r="13" spans="2:8">
      <c r="B13" s="38"/>
      <c r="C13" s="44"/>
      <c r="D13" s="44"/>
      <c r="E13" s="77"/>
      <c r="F13" s="43"/>
      <c r="H13" s="43"/>
    </row>
    <row r="14" spans="2:8">
      <c r="B14" s="38" t="s">
        <v>8</v>
      </c>
      <c r="C14" s="44">
        <v>-1141559</v>
      </c>
      <c r="D14" s="44">
        <f>(-1027529)</f>
        <v>-1027529</v>
      </c>
      <c r="E14" s="77">
        <f>D14-C14</f>
        <v>114030</v>
      </c>
      <c r="F14" s="43"/>
      <c r="H14" s="43"/>
    </row>
    <row r="15" spans="2:8">
      <c r="B15" s="38"/>
      <c r="C15" s="44"/>
      <c r="D15" s="44"/>
      <c r="E15" s="77"/>
      <c r="F15" s="43"/>
      <c r="H15" s="43"/>
    </row>
    <row r="16" spans="2:8">
      <c r="B16" s="40" t="s">
        <v>9</v>
      </c>
      <c r="C16" s="45">
        <f>SUM(C6:C14)</f>
        <v>9307885</v>
      </c>
      <c r="D16" s="45">
        <f>SUM(D6:D14)</f>
        <v>9803871</v>
      </c>
      <c r="E16" s="78">
        <f>D16-C16</f>
        <v>495986</v>
      </c>
      <c r="F16" s="90">
        <f>D16</f>
        <v>9803871</v>
      </c>
      <c r="H16" s="43"/>
    </row>
    <row r="17" spans="2:9">
      <c r="B17" s="38"/>
      <c r="C17" s="44"/>
      <c r="D17" s="44"/>
      <c r="E17" s="77"/>
      <c r="F17" s="43"/>
      <c r="H17" s="43"/>
      <c r="I17" s="43" t="s">
        <v>10</v>
      </c>
    </row>
    <row r="18" spans="2:9">
      <c r="B18" s="38" t="s">
        <v>11</v>
      </c>
      <c r="C18" s="44">
        <v>-208000</v>
      </c>
      <c r="D18" s="44">
        <v>-250000</v>
      </c>
      <c r="E18" s="77">
        <f>D18-C18</f>
        <v>-42000</v>
      </c>
      <c r="H18" s="43"/>
    </row>
    <row r="19" spans="2:9">
      <c r="B19" s="38"/>
      <c r="C19" s="44"/>
      <c r="D19" s="44"/>
      <c r="E19" s="77"/>
      <c r="F19" s="43"/>
      <c r="H19" s="43"/>
    </row>
    <row r="20" spans="2:9">
      <c r="B20" s="38" t="s">
        <v>12</v>
      </c>
      <c r="C20" s="48">
        <v>3364762.5</v>
      </c>
      <c r="D20" s="49">
        <v>3360524</v>
      </c>
      <c r="E20" s="77">
        <f>D20-C20</f>
        <v>-4238.5</v>
      </c>
      <c r="F20" s="90">
        <f>D20</f>
        <v>3360524</v>
      </c>
      <c r="H20" s="43"/>
    </row>
    <row r="21" spans="2:9">
      <c r="B21" s="38"/>
      <c r="C21" s="48"/>
      <c r="D21" s="49"/>
      <c r="E21" s="77"/>
      <c r="F21" s="43"/>
      <c r="H21" s="43"/>
    </row>
    <row r="22" spans="2:9">
      <c r="B22" s="41" t="s">
        <v>13</v>
      </c>
      <c r="C22" s="53">
        <f>SUM(C16:C20)</f>
        <v>12464647.5</v>
      </c>
      <c r="D22" s="53">
        <f>SUM(D16:D20)</f>
        <v>12914395</v>
      </c>
      <c r="E22" s="79">
        <f>D22-C22</f>
        <v>449747.5</v>
      </c>
      <c r="F22" s="43"/>
      <c r="G22" s="46"/>
      <c r="H22" s="43"/>
    </row>
    <row r="23" spans="2:9">
      <c r="B23" s="38"/>
      <c r="C23" s="46"/>
      <c r="D23" s="37"/>
      <c r="E23" s="37"/>
      <c r="F23" s="37"/>
      <c r="H23" s="43"/>
    </row>
    <row r="24" spans="2:9">
      <c r="B24" s="93" t="s">
        <v>14</v>
      </c>
      <c r="C24" s="93"/>
      <c r="E24" s="80" t="s">
        <v>15</v>
      </c>
      <c r="F24" s="37"/>
      <c r="H24" s="43"/>
    </row>
    <row r="25" spans="2:9">
      <c r="B25" s="43" t="s">
        <v>16</v>
      </c>
      <c r="C25" s="54">
        <f>Sheet3!E4+Sheet3!E5+Sheet3!E6+Sheet3!E8+16850</f>
        <v>31602108</v>
      </c>
      <c r="E25" s="81">
        <f>E22</f>
        <v>449747.5</v>
      </c>
      <c r="F25" s="37"/>
      <c r="H25" s="43"/>
    </row>
    <row r="26" spans="2:9">
      <c r="B26" s="43" t="s">
        <v>17</v>
      </c>
      <c r="C26" s="55">
        <f>C25*2.5%</f>
        <v>790052.70000000007</v>
      </c>
      <c r="E26" s="82">
        <f>C26</f>
        <v>790052.70000000007</v>
      </c>
      <c r="F26" s="37"/>
      <c r="H26" s="43"/>
    </row>
    <row r="27" spans="2:9">
      <c r="B27" s="43" t="s">
        <v>18</v>
      </c>
      <c r="C27" s="46">
        <v>400000</v>
      </c>
      <c r="E27" s="81">
        <f>C27</f>
        <v>400000</v>
      </c>
      <c r="F27" s="37"/>
      <c r="H27" s="43"/>
    </row>
    <row r="28" spans="2:9">
      <c r="B28" s="43" t="s">
        <v>19</v>
      </c>
      <c r="C28" s="46">
        <f>Sheet3!F7</f>
        <v>2213677.52</v>
      </c>
      <c r="E28" s="82"/>
      <c r="F28" s="37"/>
      <c r="H28" s="43"/>
    </row>
    <row r="29" spans="2:9">
      <c r="B29" s="43" t="s">
        <v>20</v>
      </c>
      <c r="C29" s="50">
        <f>SUM(C25:C28)</f>
        <v>35005838.219999999</v>
      </c>
      <c r="E29" s="81"/>
      <c r="F29" s="44">
        <f>C29</f>
        <v>35005838.219999999</v>
      </c>
      <c r="G29" s="55">
        <f>SUM(F16:F30)</f>
        <v>48170233.219999999</v>
      </c>
      <c r="H29" s="43"/>
    </row>
    <row r="30" spans="2:9">
      <c r="C30" s="46"/>
      <c r="D30" s="37"/>
      <c r="E30" s="83"/>
      <c r="F30" s="37"/>
      <c r="H30" s="43"/>
    </row>
    <row r="31" spans="2:9">
      <c r="B31" s="38"/>
      <c r="C31" s="43"/>
      <c r="D31" s="63" t="s">
        <v>21</v>
      </c>
      <c r="E31" s="84">
        <f>SUM(E25:E29)</f>
        <v>1639800.2000000002</v>
      </c>
      <c r="G31" s="92"/>
      <c r="H31" s="60"/>
    </row>
    <row r="32" spans="2:9">
      <c r="B32" s="38"/>
      <c r="C32" s="51"/>
      <c r="D32" s="51"/>
      <c r="E32" s="73"/>
      <c r="G32" s="92"/>
      <c r="H32" s="60"/>
    </row>
    <row r="33" spans="2:8">
      <c r="B33" s="65"/>
      <c r="C33" s="66" t="s">
        <v>22</v>
      </c>
      <c r="D33" s="67" t="s">
        <v>23</v>
      </c>
      <c r="E33" s="85" t="s">
        <v>24</v>
      </c>
      <c r="F33" s="43"/>
      <c r="H33" s="43"/>
    </row>
    <row r="34" spans="2:8">
      <c r="B34" s="64" t="s">
        <v>25</v>
      </c>
      <c r="C34" s="61">
        <f>C40-C36-C38</f>
        <v>21860778.459999986</v>
      </c>
      <c r="D34" s="74">
        <f>+C34/C40</f>
        <v>0.45175766226236125</v>
      </c>
      <c r="E34" s="86">
        <f>+E31*D34</f>
        <v>740792.30492935248</v>
      </c>
      <c r="F34" s="62"/>
      <c r="H34" s="43"/>
    </row>
    <row r="35" spans="2:8">
      <c r="B35" s="64"/>
      <c r="C35" s="46"/>
      <c r="D35" s="74"/>
      <c r="E35" s="87"/>
      <c r="F35" s="43"/>
      <c r="H35" s="43"/>
    </row>
    <row r="36" spans="2:8">
      <c r="B36" s="64" t="s">
        <v>26</v>
      </c>
      <c r="C36" s="61">
        <v>25304074</v>
      </c>
      <c r="D36" s="74">
        <f>+C36/C40</f>
        <v>0.52291410101750802</v>
      </c>
      <c r="E36" s="86">
        <f>+E31*D36</f>
        <v>857474.64743132994</v>
      </c>
      <c r="F36" s="62">
        <v>904098.36812926084</v>
      </c>
      <c r="H36" s="43"/>
    </row>
    <row r="37" spans="2:8">
      <c r="B37" s="64"/>
      <c r="C37" s="46"/>
      <c r="D37" s="74"/>
      <c r="E37" s="87"/>
      <c r="F37" s="43"/>
      <c r="H37" s="43"/>
    </row>
    <row r="38" spans="2:8">
      <c r="B38" s="64" t="s">
        <v>27</v>
      </c>
      <c r="C38" s="61">
        <v>1225646</v>
      </c>
      <c r="D38" s="74">
        <f>+C38/C40</f>
        <v>2.5328236720130706E-2</v>
      </c>
      <c r="E38" s="86">
        <f>+E31*D38</f>
        <v>41533.247639317677</v>
      </c>
      <c r="F38" s="37"/>
      <c r="H38" s="43"/>
    </row>
    <row r="39" spans="2:8">
      <c r="B39" s="56"/>
      <c r="C39" s="57"/>
      <c r="D39" s="75"/>
      <c r="E39" s="87"/>
      <c r="F39" s="43"/>
      <c r="H39" s="43"/>
    </row>
    <row r="40" spans="2:8" ht="16.5" thickBot="1">
      <c r="B40" s="52" t="s">
        <v>28</v>
      </c>
      <c r="C40" s="59">
        <v>48390498.459999986</v>
      </c>
      <c r="D40" s="72">
        <f>SUM(D34:D38)</f>
        <v>1</v>
      </c>
      <c r="E40" s="88">
        <f>SUM(E34:E38)</f>
        <v>1639800.2000000002</v>
      </c>
      <c r="F40" s="62"/>
      <c r="H40" s="43"/>
    </row>
    <row r="41" spans="2:8" ht="16.5" thickTop="1">
      <c r="B41" s="56"/>
      <c r="C41" s="57"/>
      <c r="E41" s="89"/>
      <c r="F41" s="43"/>
      <c r="H41" s="43"/>
    </row>
    <row r="42" spans="2:8">
      <c r="B42" s="68" t="s">
        <v>29</v>
      </c>
      <c r="C42" s="58"/>
      <c r="D42" s="58"/>
      <c r="E42" s="69"/>
      <c r="F42" s="43"/>
      <c r="H42" s="43"/>
    </row>
    <row r="43" spans="2:8">
      <c r="C43" s="57"/>
      <c r="H43" s="43"/>
    </row>
    <row r="44" spans="2:8">
      <c r="C44" s="57"/>
      <c r="H44" s="43"/>
    </row>
    <row r="45" spans="2:8">
      <c r="H45" s="43"/>
    </row>
    <row r="46" spans="2:8">
      <c r="H46" s="43"/>
    </row>
  </sheetData>
  <mergeCells count="2">
    <mergeCell ref="B24:C24"/>
    <mergeCell ref="B2:E2"/>
  </mergeCells>
  <pageMargins left="0.7" right="0.7" top="0.75" bottom="0.75" header="0.3" footer="0.3"/>
  <pageSetup orientation="portrait" horizontalDpi="4294967295" verticalDpi="429496729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7034B-0D2A-4186-B3A7-1B01E6F7C861}">
  <dimension ref="A1:J32"/>
  <sheetViews>
    <sheetView tabSelected="1" topLeftCell="B16" workbookViewId="0">
      <selection activeCell="E29" sqref="E29"/>
    </sheetView>
  </sheetViews>
  <sheetFormatPr defaultRowHeight="15"/>
  <cols>
    <col min="2" max="2" width="41.85546875" bestFit="1" customWidth="1"/>
    <col min="3" max="5" width="15.5703125" style="2" bestFit="1" customWidth="1"/>
    <col min="6" max="6" width="17.42578125" style="2" bestFit="1" customWidth="1"/>
    <col min="7" max="7" width="1.140625" customWidth="1"/>
    <col min="8" max="8" width="27.42578125" bestFit="1" customWidth="1"/>
    <col min="9" max="9" width="25.85546875" style="7" bestFit="1" customWidth="1"/>
    <col min="10" max="10" width="26.5703125" bestFit="1" customWidth="1"/>
  </cols>
  <sheetData>
    <row r="1" spans="1:9">
      <c r="A1" s="95" t="s">
        <v>30</v>
      </c>
      <c r="B1" s="96"/>
      <c r="C1" s="96"/>
      <c r="D1" s="96"/>
      <c r="E1" s="96"/>
      <c r="F1" s="96"/>
      <c r="G1" s="96"/>
      <c r="H1" s="96"/>
      <c r="I1" s="97"/>
    </row>
    <row r="2" spans="1:9">
      <c r="A2" s="10"/>
      <c r="B2" s="19" t="s">
        <v>31</v>
      </c>
      <c r="C2" s="3" t="s">
        <v>32</v>
      </c>
      <c r="D2" s="3" t="s">
        <v>33</v>
      </c>
      <c r="E2" s="3" t="s">
        <v>34</v>
      </c>
      <c r="F2" s="3" t="s">
        <v>35</v>
      </c>
      <c r="H2" s="20" t="s">
        <v>36</v>
      </c>
      <c r="I2" s="22" t="s">
        <v>37</v>
      </c>
    </row>
    <row r="3" spans="1:9">
      <c r="A3" s="10"/>
      <c r="B3" s="19"/>
      <c r="C3" s="3"/>
      <c r="D3" s="3"/>
      <c r="E3" s="3"/>
      <c r="F3" s="3"/>
      <c r="I3" s="23"/>
    </row>
    <row r="4" spans="1:9">
      <c r="A4" s="10"/>
      <c r="B4" t="s">
        <v>38</v>
      </c>
      <c r="C4" s="13">
        <v>27131063</v>
      </c>
      <c r="D4" s="13">
        <v>28043723</v>
      </c>
      <c r="E4" s="13">
        <v>29375036</v>
      </c>
      <c r="F4" s="13">
        <v>31602108</v>
      </c>
      <c r="H4" s="14">
        <f>F4-E4</f>
        <v>2227072</v>
      </c>
      <c r="I4" s="23">
        <f>(F4/E4)-1</f>
        <v>7.5815124107422305E-2</v>
      </c>
    </row>
    <row r="5" spans="1:9">
      <c r="A5" s="10"/>
      <c r="B5" t="s">
        <v>17</v>
      </c>
      <c r="C5" s="13">
        <v>678277</v>
      </c>
      <c r="D5" s="13">
        <v>701093</v>
      </c>
      <c r="E5" s="13">
        <v>734797</v>
      </c>
      <c r="F5" s="13">
        <v>790052.70000000007</v>
      </c>
      <c r="H5" s="14">
        <f t="shared" ref="H5:H7" si="0">F5-E5</f>
        <v>55255.70000000007</v>
      </c>
      <c r="I5" s="23">
        <f t="shared" ref="I5:I17" si="1">(F5/E5)-1</f>
        <v>7.5198592264258179E-2</v>
      </c>
    </row>
    <row r="6" spans="1:9">
      <c r="A6" s="10"/>
      <c r="B6" t="s">
        <v>18</v>
      </c>
      <c r="C6" s="13">
        <v>234383</v>
      </c>
      <c r="D6" s="13">
        <v>630220</v>
      </c>
      <c r="E6" s="13">
        <v>527289</v>
      </c>
      <c r="F6" s="13">
        <v>425000</v>
      </c>
      <c r="H6" s="14">
        <f t="shared" si="0"/>
        <v>-102289</v>
      </c>
      <c r="I6" s="23">
        <f t="shared" si="1"/>
        <v>-0.19399039236547699</v>
      </c>
    </row>
    <row r="7" spans="1:9">
      <c r="A7" s="10"/>
      <c r="B7" t="s">
        <v>19</v>
      </c>
      <c r="C7" s="13">
        <v>2831933</v>
      </c>
      <c r="D7" s="13">
        <v>2477704</v>
      </c>
      <c r="E7" s="13">
        <v>2313898.33</v>
      </c>
      <c r="F7" s="13">
        <v>2213677.52</v>
      </c>
      <c r="H7" s="14">
        <f t="shared" si="0"/>
        <v>-100220.81000000006</v>
      </c>
      <c r="I7" s="23">
        <f t="shared" si="1"/>
        <v>-4.3312538282526902E-2</v>
      </c>
    </row>
    <row r="8" spans="1:9">
      <c r="A8" s="10"/>
      <c r="B8" t="s">
        <v>39</v>
      </c>
      <c r="C8" s="13"/>
      <c r="D8" s="13"/>
      <c r="E8" s="13">
        <v>948136</v>
      </c>
      <c r="F8" s="13"/>
      <c r="I8" s="23"/>
    </row>
    <row r="9" spans="1:9">
      <c r="A9" s="10"/>
      <c r="C9" s="13"/>
      <c r="D9" s="13"/>
      <c r="E9" s="13"/>
      <c r="F9" s="13"/>
      <c r="I9" s="23"/>
    </row>
    <row r="10" spans="1:9">
      <c r="A10" s="10"/>
      <c r="B10" s="25" t="s">
        <v>40</v>
      </c>
      <c r="C10" s="26">
        <v>30875656</v>
      </c>
      <c r="D10" s="26">
        <v>31852740</v>
      </c>
      <c r="E10" s="26">
        <v>33899156.329999998</v>
      </c>
      <c r="F10" s="26">
        <f>SUM(F4:F7)</f>
        <v>35030838.219999999</v>
      </c>
      <c r="G10" s="25"/>
      <c r="H10" s="27">
        <f>SUM(H4:H9)</f>
        <v>2079817.8900000001</v>
      </c>
      <c r="I10" s="28">
        <f t="shared" si="1"/>
        <v>3.3383777430427974E-2</v>
      </c>
    </row>
    <row r="11" spans="1:9">
      <c r="A11" s="10"/>
      <c r="C11" s="13"/>
      <c r="D11" s="13"/>
      <c r="E11" s="13"/>
      <c r="F11" s="13"/>
      <c r="I11" s="23"/>
    </row>
    <row r="12" spans="1:9">
      <c r="A12" s="10"/>
      <c r="C12" s="13"/>
      <c r="D12" s="13"/>
      <c r="E12" s="13"/>
      <c r="F12" s="13"/>
      <c r="I12" s="23"/>
    </row>
    <row r="13" spans="1:9">
      <c r="A13" s="10"/>
      <c r="B13" t="s">
        <v>41</v>
      </c>
      <c r="C13" s="1">
        <v>10500128</v>
      </c>
      <c r="D13" s="1">
        <v>10793838</v>
      </c>
      <c r="E13" s="1">
        <v>10761543</v>
      </c>
      <c r="F13" s="5">
        <v>11034268</v>
      </c>
      <c r="H13" s="14">
        <f>F13-E13</f>
        <v>272725</v>
      </c>
      <c r="I13" s="23">
        <f t="shared" si="1"/>
        <v>2.5342555430945213E-2</v>
      </c>
    </row>
    <row r="14" spans="1:9">
      <c r="A14" s="10"/>
      <c r="C14" s="13"/>
      <c r="D14" s="13"/>
      <c r="E14" s="13"/>
      <c r="F14" s="13"/>
      <c r="I14" s="23"/>
    </row>
    <row r="15" spans="1:9">
      <c r="A15" s="10"/>
      <c r="B15" t="s">
        <v>42</v>
      </c>
      <c r="C15" s="1">
        <v>3110153</v>
      </c>
      <c r="D15" s="1">
        <v>3160153</v>
      </c>
      <c r="E15" s="1">
        <v>3364762.5</v>
      </c>
      <c r="F15" s="5">
        <f>AVERAGE(C15:E15)+50000</f>
        <v>3261689.5</v>
      </c>
      <c r="H15" s="14">
        <f>F15-E15</f>
        <v>-103073</v>
      </c>
      <c r="I15" s="23">
        <f t="shared" si="1"/>
        <v>-3.0633068455797385E-2</v>
      </c>
    </row>
    <row r="16" spans="1:9">
      <c r="A16" s="10"/>
      <c r="C16" s="13"/>
      <c r="D16" s="13"/>
      <c r="E16" s="13"/>
      <c r="F16" s="13"/>
      <c r="I16" s="23"/>
    </row>
    <row r="17" spans="1:10" ht="15.75" thickBot="1">
      <c r="A17" s="10"/>
      <c r="B17" s="9" t="s">
        <v>28</v>
      </c>
      <c r="C17" s="4">
        <f>SUM(C10:C15)</f>
        <v>44485937</v>
      </c>
      <c r="D17" s="4">
        <f t="shared" ref="D17" si="2">SUM(D10:D15)</f>
        <v>45806731</v>
      </c>
      <c r="E17" s="4">
        <f>SUM(E10:E15)</f>
        <v>48025461.829999998</v>
      </c>
      <c r="F17" s="4">
        <f>SUM(F10:F15)</f>
        <v>49326795.719999999</v>
      </c>
      <c r="G17" s="9"/>
      <c r="H17" s="6">
        <f>SUM(H10:H15)</f>
        <v>2249469.89</v>
      </c>
      <c r="I17" s="29">
        <f t="shared" si="1"/>
        <v>2.7096749107930362E-2</v>
      </c>
    </row>
    <row r="18" spans="1:10" ht="16.5" thickTop="1" thickBot="1">
      <c r="A18" s="15"/>
      <c r="B18" s="16"/>
      <c r="C18" s="17"/>
      <c r="D18" s="17"/>
      <c r="E18" s="17"/>
      <c r="F18" s="17"/>
      <c r="G18" s="16"/>
      <c r="H18" s="16"/>
      <c r="I18" s="24"/>
    </row>
    <row r="19" spans="1:10" ht="15.75" thickBot="1">
      <c r="C19" s="13"/>
      <c r="D19" s="13"/>
      <c r="E19" s="13"/>
      <c r="F19" s="13"/>
      <c r="I19" s="11"/>
    </row>
    <row r="20" spans="1:10">
      <c r="A20" s="95" t="s">
        <v>43</v>
      </c>
      <c r="B20" s="96"/>
      <c r="C20" s="96"/>
      <c r="D20" s="96"/>
      <c r="E20" s="96"/>
      <c r="F20" s="96"/>
      <c r="G20" s="96"/>
      <c r="H20" s="96"/>
      <c r="I20" s="96"/>
      <c r="J20" s="97"/>
    </row>
    <row r="21" spans="1:10">
      <c r="A21" s="10"/>
      <c r="C21" s="13"/>
      <c r="D21" s="13"/>
      <c r="E21" s="13"/>
      <c r="F21" s="13"/>
      <c r="H21" s="20" t="s">
        <v>36</v>
      </c>
      <c r="I21" s="21" t="s">
        <v>37</v>
      </c>
      <c r="J21" s="12"/>
    </row>
    <row r="22" spans="1:10">
      <c r="A22" s="10"/>
      <c r="B22" t="s">
        <v>44</v>
      </c>
      <c r="C22" s="13"/>
      <c r="D22" s="13"/>
      <c r="E22" s="13">
        <f>103342+92305</f>
        <v>195647</v>
      </c>
      <c r="F22" s="13">
        <f>107785+90311</f>
        <v>198096</v>
      </c>
      <c r="H22" s="14">
        <f>F22-E22</f>
        <v>2449</v>
      </c>
      <c r="I22" s="11">
        <f>(F22/E22)-1</f>
        <v>1.2517442127913947E-2</v>
      </c>
      <c r="J22" s="12"/>
    </row>
    <row r="23" spans="1:10">
      <c r="A23" s="10"/>
      <c r="B23" t="s">
        <v>45</v>
      </c>
      <c r="C23" s="13"/>
      <c r="D23" s="13"/>
      <c r="E23" s="13">
        <v>402801</v>
      </c>
      <c r="F23" s="13">
        <v>361043</v>
      </c>
      <c r="H23" s="14">
        <f t="shared" ref="H23" si="3">F23-E23</f>
        <v>-41758</v>
      </c>
      <c r="I23" s="11">
        <f t="shared" ref="I23:I24" si="4">(F23/E23)-1</f>
        <v>-0.1036690574253788</v>
      </c>
      <c r="J23" s="12"/>
    </row>
    <row r="24" spans="1:10">
      <c r="A24" s="10"/>
      <c r="B24" t="s">
        <v>46</v>
      </c>
      <c r="C24" s="13"/>
      <c r="D24" s="13"/>
      <c r="E24" s="13">
        <v>543111</v>
      </c>
      <c r="F24" s="13">
        <v>468390</v>
      </c>
      <c r="H24" s="14">
        <f>F24-E24</f>
        <v>-74721</v>
      </c>
      <c r="I24" s="11">
        <f t="shared" si="4"/>
        <v>-0.13757961079779268</v>
      </c>
      <c r="J24" s="12"/>
    </row>
    <row r="25" spans="1:10">
      <c r="A25" s="10"/>
      <c r="B25" s="25" t="s">
        <v>47</v>
      </c>
      <c r="C25" s="26"/>
      <c r="D25" s="26"/>
      <c r="E25" s="26">
        <f>SUM(E22:E24)</f>
        <v>1141559</v>
      </c>
      <c r="F25" s="26">
        <f>SUM(F22:F24)</f>
        <v>1027529</v>
      </c>
      <c r="G25" s="25"/>
      <c r="H25" s="27">
        <f>F25-E25</f>
        <v>-114030</v>
      </c>
      <c r="I25" s="30">
        <f t="shared" ref="I25" si="5">(F25/E25)-1</f>
        <v>-9.9889712226875704E-2</v>
      </c>
      <c r="J25" s="12"/>
    </row>
    <row r="26" spans="1:10">
      <c r="A26" s="10"/>
      <c r="C26" s="13"/>
      <c r="D26" s="13"/>
      <c r="E26" s="13"/>
      <c r="F26" s="13"/>
      <c r="I26" s="11"/>
      <c r="J26" s="12"/>
    </row>
    <row r="27" spans="1:10">
      <c r="A27" s="10"/>
      <c r="C27" s="13"/>
      <c r="D27" s="13"/>
      <c r="E27" s="13"/>
      <c r="F27" s="13"/>
      <c r="H27" s="20" t="s">
        <v>48</v>
      </c>
      <c r="I27" s="21" t="s">
        <v>49</v>
      </c>
      <c r="J27" s="22" t="s">
        <v>50</v>
      </c>
    </row>
    <row r="28" spans="1:10">
      <c r="A28" s="10"/>
      <c r="B28" t="s">
        <v>51</v>
      </c>
      <c r="C28" s="13">
        <v>18244373.920000002</v>
      </c>
      <c r="D28" s="14">
        <v>18820530.950000003</v>
      </c>
      <c r="E28" s="13">
        <v>19021795.189999998</v>
      </c>
      <c r="F28" s="31"/>
      <c r="H28" s="14">
        <f>E28-D28</f>
        <v>201264.23999999464</v>
      </c>
      <c r="I28" s="11">
        <f>(E28/D28)-1</f>
        <v>1.0693866211037628E-2</v>
      </c>
      <c r="J28" s="32">
        <f>E28/E31</f>
        <v>0.42149483527912057</v>
      </c>
    </row>
    <row r="29" spans="1:10">
      <c r="A29" s="10"/>
      <c r="B29" t="s">
        <v>52</v>
      </c>
      <c r="C29" s="13">
        <v>22342995</v>
      </c>
      <c r="D29" s="13">
        <v>22901128</v>
      </c>
      <c r="E29" s="13">
        <v>24881926</v>
      </c>
      <c r="F29" s="31"/>
      <c r="H29" s="14">
        <f t="shared" ref="H29:H31" si="6">E29-D29</f>
        <v>1980798</v>
      </c>
      <c r="I29" s="11">
        <f>(E29/D29)-1</f>
        <v>8.6493468793327644E-2</v>
      </c>
      <c r="J29" s="32">
        <f>E29/E31</f>
        <v>0.55134666292226375</v>
      </c>
    </row>
    <row r="30" spans="1:10">
      <c r="A30" s="10"/>
      <c r="B30" t="s">
        <v>53</v>
      </c>
      <c r="C30" s="13">
        <v>1054376</v>
      </c>
      <c r="D30" s="13">
        <v>1181390</v>
      </c>
      <c r="E30" s="13">
        <v>1225646</v>
      </c>
      <c r="F30" s="31"/>
      <c r="H30" s="14">
        <f t="shared" si="6"/>
        <v>44256</v>
      </c>
      <c r="I30" s="11">
        <f t="shared" ref="I29:I31" si="7">(E30/D30)-1</f>
        <v>3.7460957008270013E-2</v>
      </c>
      <c r="J30" s="32">
        <f>E30/E31</f>
        <v>2.7158501798615627E-2</v>
      </c>
    </row>
    <row r="31" spans="1:10" ht="15.75" thickBot="1">
      <c r="A31" s="10"/>
      <c r="B31" s="9" t="s">
        <v>54</v>
      </c>
      <c r="C31" s="4">
        <f>SUM(C28:C30)</f>
        <v>41641744.920000002</v>
      </c>
      <c r="D31" s="4">
        <f>SUM(D28:D30)</f>
        <v>42903048.950000003</v>
      </c>
      <c r="E31" s="4">
        <f t="shared" ref="E31:G31" si="8">SUM(E28:E30)</f>
        <v>45129367.189999998</v>
      </c>
      <c r="F31" s="36">
        <f>SUM(F28:F30)</f>
        <v>0</v>
      </c>
      <c r="G31" s="13">
        <f t="shared" si="8"/>
        <v>0</v>
      </c>
      <c r="H31" s="6">
        <f t="shared" si="6"/>
        <v>2226318.2399999946</v>
      </c>
      <c r="I31" s="8">
        <f t="shared" si="7"/>
        <v>5.1891842059863524E-2</v>
      </c>
      <c r="J31" s="33"/>
    </row>
    <row r="32" spans="1:10" ht="16.5" thickTop="1" thickBot="1">
      <c r="A32" s="15"/>
      <c r="B32" s="16"/>
      <c r="C32" s="17"/>
      <c r="D32" s="17"/>
      <c r="E32" s="17"/>
      <c r="F32" s="17"/>
      <c r="G32" s="34">
        <f t="shared" ref="G32" si="9">SUM(G31)</f>
        <v>0</v>
      </c>
      <c r="H32" s="34"/>
      <c r="I32" s="35"/>
      <c r="J32" s="18"/>
    </row>
  </sheetData>
  <mergeCells count="2">
    <mergeCell ref="A1:I1"/>
    <mergeCell ref="A20:J20"/>
  </mergeCells>
  <phoneticPr fontId="7" type="noConversion"/>
  <pageMargins left="0.7" right="0.7" top="0.75" bottom="0.75" header="0.3" footer="0.3"/>
  <pageSetup orientation="portrait" horizontalDpi="4294967295" verticalDpi="4294967295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B8C97F39743A4B9C598F8AFF8C4D45" ma:contentTypeVersion="14" ma:contentTypeDescription="Create a new document." ma:contentTypeScope="" ma:versionID="655415328ef8f3361e55ed12a9f342b2">
  <xsd:schema xmlns:xsd="http://www.w3.org/2001/XMLSchema" xmlns:xs="http://www.w3.org/2001/XMLSchema" xmlns:p="http://schemas.microsoft.com/office/2006/metadata/properties" xmlns:ns2="33734760-6b03-432e-84b7-4ed6a61e9504" xmlns:ns3="6054062d-ff49-45ea-8581-24872d8d3652" targetNamespace="http://schemas.microsoft.com/office/2006/metadata/properties" ma:root="true" ma:fieldsID="5a656a84b2a898bbe8cf3568ba3108ff" ns2:_="" ns3:_="">
    <xsd:import namespace="33734760-6b03-432e-84b7-4ed6a61e9504"/>
    <xsd:import namespace="6054062d-ff49-45ea-8581-24872d8d36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734760-6b03-432e-84b7-4ed6a61e95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88593d89-eaca-4e69-8bc1-af8552ccee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4062d-ff49-45ea-8581-24872d8d365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a24b071-d305-4540-b195-096d61d52076}" ma:internalName="TaxCatchAll" ma:showField="CatchAllData" ma:web="6054062d-ff49-45ea-8581-24872d8d36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54062d-ff49-45ea-8581-24872d8d3652" xsi:nil="true"/>
    <lcf76f155ced4ddcb4097134ff3c332f xmlns="33734760-6b03-432e-84b7-4ed6a61e95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A23D0C3-99F4-4957-9870-537AE1191B5F}"/>
</file>

<file path=customXml/itemProps2.xml><?xml version="1.0" encoding="utf-8"?>
<ds:datastoreItem xmlns:ds="http://schemas.openxmlformats.org/officeDocument/2006/customXml" ds:itemID="{F090271B-472C-479B-A623-8D84DA1B2FA2}"/>
</file>

<file path=customXml/itemProps3.xml><?xml version="1.0" encoding="utf-8"?>
<ds:datastoreItem xmlns:ds="http://schemas.openxmlformats.org/officeDocument/2006/customXml" ds:itemID="{1C1CD788-9BAF-4F9C-8FBC-59F2492733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Carter Terenzini</dc:creator>
  <cp:keywords/>
  <dc:description/>
  <cp:lastModifiedBy>Ana Lockwood</cp:lastModifiedBy>
  <cp:revision/>
  <dcterms:created xsi:type="dcterms:W3CDTF">2025-01-23T17:56:40Z</dcterms:created>
  <dcterms:modified xsi:type="dcterms:W3CDTF">2025-03-15T22:15:32Z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0x010100F4B8C97F39743A4B9C598F8AFF8C4D45</vt:lpwstr>
  </property>
  <property fmtid="{D5CDD505-2E9C-101B-9397-08002B2CF9AE}" pid="3" name="MediaServiceImageTags">
    <vt:lpwstr/>
  </property>
</Properties>
</file>